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285" tabRatio="599" activeTab="1"/>
  </bookViews>
  <sheets>
    <sheet name="zał nr 1" sheetId="1" r:id="rId1"/>
    <sheet name="zał nr 2" sheetId="2" r:id="rId2"/>
    <sheet name="zał nr 3" sheetId="3" r:id="rId3"/>
    <sheet name="zał nr 4" sheetId="4" r:id="rId4"/>
    <sheet name="zał nr 5" sheetId="5" r:id="rId5"/>
    <sheet name="zał nr 5a" sheetId="6" r:id="rId6"/>
    <sheet name="zał nr 6 i 6a" sheetId="7" r:id="rId7"/>
    <sheet name="zał.nr 7" sheetId="8" r:id="rId8"/>
    <sheet name="zał nr 8" sheetId="9" r:id="rId9"/>
    <sheet name="zał nr 9" sheetId="10" r:id="rId10"/>
    <sheet name="zał nr 10" sheetId="11" r:id="rId11"/>
    <sheet name="zał nr 11" sheetId="12" r:id="rId12"/>
  </sheets>
  <definedNames>
    <definedName name="_xlnm.Print_Area" localSheetId="8">'zał nr 8'!$A$1:$F$32</definedName>
    <definedName name="_xlnm.Print_Titles" localSheetId="0">'zał nr 1'!$3:$5</definedName>
    <definedName name="_xlnm.Print_Titles" localSheetId="11">'zał nr 11'!$5:$12</definedName>
    <definedName name="_xlnm.Print_Titles" localSheetId="1">'zał nr 2'!$3:$6</definedName>
    <definedName name="_xlnm.Print_Titles" localSheetId="3">'zał nr 4'!$3:$7</definedName>
    <definedName name="_xlnm.Print_Titles" localSheetId="9">'zał nr 9'!$17:$18</definedName>
  </definedNames>
  <calcPr fullCalcOnLoad="1"/>
</workbook>
</file>

<file path=xl/sharedStrings.xml><?xml version="1.0" encoding="utf-8"?>
<sst xmlns="http://schemas.openxmlformats.org/spreadsheetml/2006/main" count="1498" uniqueCount="564">
  <si>
    <t>dotacje celowe przekazane do samorządu województwa na inwestycje i zakupy inwestycyjne realizowane na podstawie porozumień (umów) miedzy jednostkami samorządu terytorialnego</t>
  </si>
  <si>
    <t>URZĘDY NACZELNYCH ORGANÓW WŁADZY PAŃSTWOWEJ, KONTROLI I OCHRONY PRAWA 
ORAZ SĄDOWNICTWA</t>
  </si>
  <si>
    <t>dotacja celowa z budżetu na finansowanie lub 
dofinansowanie zadań zleconych do realizacji 
stowarzyszeniom</t>
  </si>
  <si>
    <t>rezerwy</t>
  </si>
  <si>
    <t>DOCHODY OD OSÓB PRAWNYCH, OD OSÓB
FIZYCZNYCH I OD INNYCH JEDNOSTEK NIE
POSIADAJĄCYCH OSOBOWOŚCI PRAWNEJ ORAZ WYDATKI ZWIĄZANE Z ICH POBOREM</t>
  </si>
  <si>
    <t>Pobór podatków,opłat i niepodatkowych 
należności budżetowych</t>
  </si>
  <si>
    <t>wynagrodzenia agencyjno-prowizyjne</t>
  </si>
  <si>
    <t>Obsługa papierów wartościowych,kredytów i pożyczek samorządu terytorialnego</t>
  </si>
  <si>
    <t xml:space="preserve"> par.</t>
  </si>
  <si>
    <t>rok budżetowy 2011 (8+9+10+11)</t>
  </si>
  <si>
    <t>Budowa chodnika ul. Partyzantów od ul. Westerplatte do cmentarza przy ul.Granicznej dł. 500m</t>
  </si>
  <si>
    <t>PT budowy drogi dojazdowej dł.350 mb do działek zabudowy jednorodzinnej w m. Bielowice, mapy podziału</t>
  </si>
  <si>
    <t>PT rozbudowy ul.Świerkowej dł 640mb (parking, chodnik, jezdnia)</t>
  </si>
  <si>
    <t>PT przebudowy ul.Piotrkowskiej na odcinku od ul.Leśnej do ul.Krasickiego dł. 700 mb</t>
  </si>
  <si>
    <t>PT budowy łącznika ul.Biernackiego i ul.Skłodowskiej dł.220 mb z parkingami oraz łącznika do ul.Partyzantów dł. 200 mb</t>
  </si>
  <si>
    <t>Budowa parkingu na 14 stanowisk przy ul.Westerplatte</t>
  </si>
  <si>
    <t>Budowa budynku gospodarczego i altany przy Przedszkolu Nr 2 w Opocznie</t>
  </si>
  <si>
    <t>Zakup kuchni gazowej z piekarnikeim do stołówki Przedszkola nr 8</t>
  </si>
  <si>
    <t xml:space="preserve">PT budowy kolektora deszczowego w ul.Garncarskiej i ul.Wąskiej do rzeki Wąglanki dł.250 mb </t>
  </si>
  <si>
    <t xml:space="preserve">Budowa + PT kładki przez rzekę w m.Sitowa </t>
  </si>
  <si>
    <t>Budowa szatni przy boisku sportowym w m. Januszewice</t>
  </si>
  <si>
    <t>Zakup wykaszarki dla sołectwa Ostrów</t>
  </si>
  <si>
    <t>Termomodernizacji remizy OSP Kraszków</t>
  </si>
  <si>
    <t>Termomodernizacji remizy OSP Kruszewiec Wieś</t>
  </si>
  <si>
    <t>odsetki od samorządowych papierów wartościowych lub zaciągniętych przez jednostkę samorządu terytorialnego kredytów i pożyczek</t>
  </si>
  <si>
    <t>dotacja celowa na pomoc finansową udzielaną między jednostkami samorządu terytorialnego na dofinansownie własnych zadań bieżących</t>
  </si>
  <si>
    <t xml:space="preserve">dotacja podmiotowa z budżetu dla niepublicznej 
jednostki systemu oświaty </t>
  </si>
  <si>
    <t>wydatki osobowe nie zaliczone do wynagrodzeń</t>
  </si>
  <si>
    <t>zakup pomocy naukowych,dydaktycznych i książek</t>
  </si>
  <si>
    <t>Oddziały przedszkolne w szkołach 
podstawowych</t>
  </si>
  <si>
    <t>zakup środków żywności</t>
  </si>
  <si>
    <t>wydatki na zakupy inwestycyjne jednostek 
budżetowych</t>
  </si>
  <si>
    <t>Licea Ogólnokształcące</t>
  </si>
  <si>
    <t>stypendia dla uczniów</t>
  </si>
  <si>
    <t>dotacja przedmiotowa z budżetu dla jednostek niezaliczanych do sektora finansów publicznych</t>
  </si>
  <si>
    <t>dotacja celowa z budżetu na finansowanie lub 
dofinansowanie zadań zleconych do realizacji 
fundacjom</t>
  </si>
  <si>
    <t>wpłaty jednostek na państwowy fundusz celowy</t>
  </si>
  <si>
    <t xml:space="preserve">POMOC SPOŁECZNA </t>
  </si>
  <si>
    <t>zwrot dotacji wykorzystanych niezgodnie
z przeznaczeniem lub pobranych w nadmiernej wysokości</t>
  </si>
  <si>
    <t>odsetki od dotacji wykorzystanych niezgodnie 
z przeznaczeneim lub pobranych w nadmiernej wysokości</t>
  </si>
  <si>
    <t>składki na ubezpieczienia zdrowotne</t>
  </si>
  <si>
    <t>zakup usług przez jednostki samorzadu 
terytorialnego od innych jednostek samorządu 
terytorialnego</t>
  </si>
  <si>
    <t>Usługi opiekuńcze i specjalist usł opiek</t>
  </si>
  <si>
    <t>POZOSTAŁE ZADANIA W ZAKRESIE POLITYKI 
SPOŁECZNEJ</t>
  </si>
  <si>
    <t>Rehabilitacja zawodowa i społeczna osób 
niepełnosprawnych</t>
  </si>
  <si>
    <t>Edukacyjna opieka wychowawcza</t>
  </si>
  <si>
    <t>opłaty za administrowanie i czynsze a budynki, lokale i pomieszczenia garażowe</t>
  </si>
  <si>
    <t>dotacja podmiotowa z budżetu dla samorządowej 
instytucji kultury</t>
  </si>
  <si>
    <t>dotacje celowe z budżetu na finansowanie lub dofinansowanie kosztów realizacji inwestycji i zakupow inwestycyjnych innych jednostek sektora finansów publicznych</t>
  </si>
  <si>
    <t>dotacje celowe z budżetu na finansowanie lub dofinansowanie kosztów realizacji inwestycji i zakupow inwestycyjnych jednostek niezaliczanych do sektora finansów publicznych</t>
  </si>
  <si>
    <t>stypendia różne</t>
  </si>
  <si>
    <t>dotacja przedmiotowa z budżetu dla zakładu budżetowego</t>
  </si>
  <si>
    <t>PLAN DOTACJI NA ROK 2011</t>
  </si>
  <si>
    <t>plan wydatków zadań zleconych na 2011 rok</t>
  </si>
  <si>
    <t>plan wydatków na 2011 rok</t>
  </si>
  <si>
    <t>plan dochodów na 2011 rok</t>
  </si>
  <si>
    <t>dział</t>
  </si>
  <si>
    <t>treść</t>
  </si>
  <si>
    <t>rozdz.</t>
  </si>
  <si>
    <t>Szkoły podstawowe</t>
  </si>
  <si>
    <t xml:space="preserve"> </t>
  </si>
  <si>
    <t>RAZEM</t>
  </si>
  <si>
    <t xml:space="preserve">OŚWIATA I WYCHOWANIE </t>
  </si>
  <si>
    <t>Razem</t>
  </si>
  <si>
    <t>w złotych</t>
  </si>
  <si>
    <t>Lp.</t>
  </si>
  <si>
    <t>1.</t>
  </si>
  <si>
    <t>2.</t>
  </si>
  <si>
    <t>4.</t>
  </si>
  <si>
    <t>3.</t>
  </si>
  <si>
    <t>5.</t>
  </si>
  <si>
    <t>6.</t>
  </si>
  <si>
    <t>7.</t>
  </si>
  <si>
    <t>8.</t>
  </si>
  <si>
    <t>Treść</t>
  </si>
  <si>
    <t>Klasyfikacja
§</t>
  </si>
  <si>
    <t>Przychody ogółem:</t>
  </si>
  <si>
    <t>§ 952</t>
  </si>
  <si>
    <t>§ 903</t>
  </si>
  <si>
    <t>§ 951</t>
  </si>
  <si>
    <t xml:space="preserve">§ 944 </t>
  </si>
  <si>
    <t>§ 957</t>
  </si>
  <si>
    <t>§ 931</t>
  </si>
  <si>
    <t>Rozchody ogółem:</t>
  </si>
  <si>
    <t>§ 992</t>
  </si>
  <si>
    <t>§ 963</t>
  </si>
  <si>
    <t>§ 991</t>
  </si>
  <si>
    <t>§ 994</t>
  </si>
  <si>
    <t>§ 982</t>
  </si>
  <si>
    <t>§ 995</t>
  </si>
  <si>
    <t>Pozostała działalność</t>
  </si>
  <si>
    <t>GOSPODARKA MIESZKANIOWA</t>
  </si>
  <si>
    <t>GOSPODARKA KOMUNALNA I OCHRONA ŚRODOWISKA</t>
  </si>
  <si>
    <t>w tym:</t>
  </si>
  <si>
    <t>dochody majątkowe</t>
  </si>
  <si>
    <t>ADMINISTRACJA PUBLICZNA</t>
  </si>
  <si>
    <t>TRANSPORT I ŁĄCZNOŚĆ</t>
  </si>
  <si>
    <t>Urzędy gmin (miast i miast na prawach powiatu)</t>
  </si>
  <si>
    <t>Lp</t>
  </si>
  <si>
    <t>nazwa zadania</t>
  </si>
  <si>
    <t>Nr pożyczki</t>
  </si>
  <si>
    <t>228/OW/P/2005</t>
  </si>
  <si>
    <t>WFOŚiGW w Łodzi – Budowa kanalizacji deszczowej odprowadzającej wody opadowe z ul.Świerkowej,skrzyżowania ul.Granicznej z ul.Inowłodzką i osiedla Milenijnego</t>
  </si>
  <si>
    <t>077/OW/P/2006</t>
  </si>
  <si>
    <t>WFOŚiGW w Łodzi - Budowa kanalizacji deszczowej odprowadzającej wody opadowe z ul. Limanowskiego, Mickiewicza, Wapiennej, Łaziennej i Przedszkolnej w Opocznie</t>
  </si>
  <si>
    <t>080/OW/P/2006</t>
  </si>
  <si>
    <t>WFOŚiGW w Łodzi - Budowa kanalizacji deszczowej ul.Piotrkowska 
53, 59 w Opocznie</t>
  </si>
  <si>
    <t>41/OW/P/2008</t>
  </si>
  <si>
    <t>WFOŚiGW w Łodzi - Budowa kanalizacji deszczowej ul.Małachowskiego w Opocznie</t>
  </si>
  <si>
    <t>42/OW/P/2008</t>
  </si>
  <si>
    <t>razem spłata pożyczek</t>
  </si>
  <si>
    <t>Bank Spółdzielczy Ziemi Piotrkowskiej - Kredyt na pokrycie deficytu 
roku 2006</t>
  </si>
  <si>
    <t>82/I/2006</t>
  </si>
  <si>
    <t xml:space="preserve">Przedszkola </t>
  </si>
  <si>
    <t>lp</t>
  </si>
  <si>
    <t xml:space="preserve">rozdział </t>
  </si>
  <si>
    <t>Gimnazja</t>
  </si>
  <si>
    <t>Kryta pływalnia "Opoczyńska Fala"</t>
  </si>
  <si>
    <t>OGÓŁEM PLAN DOTACJI</t>
  </si>
  <si>
    <t>Drogi publiczne gminne</t>
  </si>
  <si>
    <t>Ośrodki wsparcia</t>
  </si>
  <si>
    <t>Gospodarka gruntami i nieruchomościami</t>
  </si>
  <si>
    <t xml:space="preserve">Oświetlenie ulic, placów i dróg </t>
  </si>
  <si>
    <t xml:space="preserve">KULTURA I OCHRONA DZIEDZICTWA
NARODOWEGO </t>
  </si>
  <si>
    <t>PKO BP SA - kredyt na zadania inwestycyjne</t>
  </si>
  <si>
    <t>Razem spłata pożyczek i kredytów</t>
  </si>
  <si>
    <t>Publiczne Szkoły Prywatne - dot.podmiotowa</t>
  </si>
  <si>
    <t>POMOC SPOŁECZNA</t>
  </si>
  <si>
    <t>Promocja jednostek samorządu terytorialnego</t>
  </si>
  <si>
    <t>Muzea</t>
  </si>
  <si>
    <t>Zasiłki i pomoc w naturze oraz składki na ubezpieczenia emerytalne i rentowe</t>
  </si>
  <si>
    <t>Zasiłki stałe</t>
  </si>
  <si>
    <t>dotacja na 
wydatki bieżące</t>
  </si>
  <si>
    <t>dotacja na wydatki 
inwestycjne</t>
  </si>
  <si>
    <t>Instytucje Kultury</t>
  </si>
  <si>
    <t>PLAN DOTACJI CELOWYCH NA ZADANIA REALIZOWANE PRZEZ PODMIOTY NIEZALICZANE DO SEKTORA FINANSÓW PUBLICZNYCH</t>
  </si>
  <si>
    <t>PLAN DOTACJI NA ZADANIA REALIZOWANE PRZEZ PODMIOTY ZALICZANE DO SEKTORA FINANSÓW PUBLICZNYCH</t>
  </si>
  <si>
    <t>Zakłady budżetowe - dotacja przedmiotowa</t>
  </si>
  <si>
    <t>Ochrona przeciwpożarowa w gminie Opoczno
-dotacja celowa</t>
  </si>
  <si>
    <t>Zwalczanie narkomanii-dotacja celowa</t>
  </si>
  <si>
    <t>Przeciwdziałanie alkoholizmowi-dotacja celowa</t>
  </si>
  <si>
    <t>Prowadzenie Środkowiskowego Domu Samopomocy 
dla osób z zaburzeniami psychicznymi-dotacja celowa</t>
  </si>
  <si>
    <t>Rehabilitacja zawodowa i społeczna osób 
niepełnosprawnch-dotacja celowa</t>
  </si>
  <si>
    <t>Zadania z zakresu kultury fizycznej i sportu-dotacja celowa</t>
  </si>
  <si>
    <t>Miejski Dom Kultury - dotacja podmiotowa</t>
  </si>
  <si>
    <t>Muzeum - dotacja podmiotowa</t>
  </si>
  <si>
    <t>Powiatowa i Miejska Biblioteka Publiczna - 
dotacja podmiotowa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</si>
  <si>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</si>
  <si>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</si>
  <si>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OŚWIATA I WYCHOWANIE</t>
  </si>
  <si>
    <t>Domy i ośrodki kultury, świetlice i kluby</t>
  </si>
  <si>
    <t>wydatki bieżące</t>
  </si>
  <si>
    <t>wydatki majątkowe</t>
  </si>
  <si>
    <t>wydatki 
jednostek budżetowych</t>
  </si>
  <si>
    <t>świadczenia na rzecz osób fizycznych</t>
  </si>
  <si>
    <t>dotacje 
na zadania bieżące</t>
  </si>
  <si>
    <t>obsługa długu</t>
  </si>
  <si>
    <t>inwestycje 
i zakupy inwestycyjne</t>
  </si>
  <si>
    <t>wynagrodzenia
i składki od nich naliczane</t>
  </si>
  <si>
    <t>wydatki związane z realizacją ich zadań statutowych</t>
  </si>
  <si>
    <t>ROLNICTWO I ŁOWIECTWO</t>
  </si>
  <si>
    <t>Pozostała działaność</t>
  </si>
  <si>
    <t>DZIAŁALNOŚĆ USŁUGOWA</t>
  </si>
  <si>
    <t>Plany zagospodarowania przestrzennego</t>
  </si>
  <si>
    <t>Cmentarze</t>
  </si>
  <si>
    <t>Urzędy wojewódzkie</t>
  </si>
  <si>
    <t>Urzędy naczelnych organów władzy
państwowej, kontroli i ochrony prawa</t>
  </si>
  <si>
    <t>Ochotnicze straże pożarne</t>
  </si>
  <si>
    <t>Obrona cywilna</t>
  </si>
  <si>
    <t>Straż Miejska</t>
  </si>
  <si>
    <t>Zarządzanie kryzysowe</t>
  </si>
  <si>
    <t>OBSŁUGA DŁUGU PUBLICZNEGO</t>
  </si>
  <si>
    <t>RÓŻNE ROZLICZENIA</t>
  </si>
  <si>
    <t>Rezerwy ogólne i celowe</t>
  </si>
  <si>
    <t>Przedszkola</t>
  </si>
  <si>
    <t>Zespoły obsługi ekonomiczno-administracyjnej szkół</t>
  </si>
  <si>
    <t>Dokształcanie i doskonalenie nauczycieli</t>
  </si>
  <si>
    <t>OCHRONA ZDROWIA</t>
  </si>
  <si>
    <t>Zwalczanie narkomanii</t>
  </si>
  <si>
    <t>Przeciwdziałanie alkoholizmowi</t>
  </si>
  <si>
    <t>Świadczenie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</si>
  <si>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</si>
  <si>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ubezpieczenie emerytalne i rentowe</t>
  </si>
  <si>
    <t>Dodatki mieszkaniowe</t>
  </si>
  <si>
    <t>Ośrodki pomocy społecznej</t>
  </si>
  <si>
    <t>POZOSTAŁE ZADANIA W ZAKRESIE POLITYKI SPOŁECZNEJ</t>
  </si>
  <si>
    <t>Żłobki</t>
  </si>
  <si>
    <t>Wczesne wspomaganie rozwoju dziecka</t>
  </si>
  <si>
    <t>Gospodarka ściekowa i ochrona wód</t>
  </si>
  <si>
    <t>Oczyszczanie miast i wsi</t>
  </si>
  <si>
    <t>Utrzymanie zieleni w miastach i gminach</t>
  </si>
  <si>
    <t>Schroniska dla zwierząt</t>
  </si>
  <si>
    <t>Biblioteki</t>
  </si>
  <si>
    <t>KULTURA FIZYCZNA I SPORT</t>
  </si>
  <si>
    <t>Obiekty sportowe</t>
  </si>
  <si>
    <t>Zadania w zakresie kultury fizycznej i sportu</t>
  </si>
  <si>
    <t>OGÓŁEM</t>
  </si>
  <si>
    <t xml:space="preserve">dział </t>
  </si>
  <si>
    <t>dochody bieżące</t>
  </si>
  <si>
    <t xml:space="preserve">w tym: </t>
  </si>
  <si>
    <t>dochody na realizację zadań zleconych ustawami</t>
  </si>
  <si>
    <t xml:space="preserve">
z tytułu środków na finansowanie wydatków na realizację zadań z udziałem środków z UE</t>
  </si>
  <si>
    <t>Urzędy Wojewódzkie</t>
  </si>
  <si>
    <t>URZĘDY NACELNYCH ORGANÓW WŁADZY
PAŃSTWOWEJ, KONTROLI I OCHRONY PRAWA ORAZ SĄDOWNICTWA</t>
  </si>
  <si>
    <t>Urzędy naczelnych organów władzy państwowej kontroli i ochrony prawa</t>
  </si>
  <si>
    <t>BEZPIECZEŃSTWO PUBLICZNE I OCHRONA PRZECIWPOŻAROWA</t>
  </si>
  <si>
    <t xml:space="preserve">Wpływy z podatku dochodowego od osób fizycznych </t>
  </si>
  <si>
    <t>Wpływy z podatku rolnego, podatku leśnego, podatku od czynności cywilnoprawnych, podatków i opłat lokalnych od osób prawnych i innych jednostek organizacyjnych</t>
  </si>
  <si>
    <t>Wpływy z podatku rolnego, podatku leśnego, podatku od sadków i darowizn, podatku od czynności cywilnoprawnych oraz podatków i opłat lokalnych od osób fizycznych</t>
  </si>
  <si>
    <t>Wpływy z różnych rozliczeń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</si>
  <si>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</si>
  <si>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</si>
  <si>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</si>
  <si>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Rozliczenia między jednostkami samorządu terytorialnego</t>
  </si>
  <si>
    <t>Różne rozliczenia finansowe</t>
  </si>
  <si>
    <t>Część równoważąca subwencji ogólnej</t>
  </si>
  <si>
    <t>Składki na ubezpieczenia zdrowotne opłacane za osoby pobierające niektóre świadczenia z pomocy społecznej, niektóre świadczenia rodzinne oraz za osoby uczestniczące w zajęciach w centrum inegracji społecznej</t>
  </si>
  <si>
    <t>Wpływy i wydatki związane z gromadzeniem 
środków z opłat i kar za korzystane ze środowiska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</si>
  <si>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</si>
  <si>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</si>
  <si>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</si>
  <si>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</si>
  <si>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</si>
  <si>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</si>
  <si>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</si>
  <si>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</si>
  <si>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pochodzące
z innych  źródeł*</t>
  </si>
  <si>
    <t>środki wymienione
w art. 5 ust. 1 pkt 2 i 3 u.f.p.</t>
  </si>
  <si>
    <t>Transport i łączność</t>
  </si>
  <si>
    <t xml:space="preserve">Drogi publiczne gminne </t>
  </si>
  <si>
    <t>Budowa północno-zachodniej obwodnicy miasta Opoczno dla dróg: krajowej nr 12, wojewódzkiej nr 726 w ciągach ulic: Przemysłowej nr 3133E i Świerkowej Nr 3132E</t>
  </si>
  <si>
    <t>Urząd Miejski w Opocznie</t>
  </si>
  <si>
    <t>Modernizacja układu komunikacyjnego miasta Opoczno - II etap</t>
  </si>
  <si>
    <t xml:space="preserve">Budowa kanalizacji sanitarnej w gm. Opoczno - I etap, zlewnia Libiszów (dł. 8191 mb, przyłącza 2970 mb, oczyszczalnia szt.1) </t>
  </si>
  <si>
    <t>Kultura fizyczna i sport</t>
  </si>
  <si>
    <t>Wykup gruntów</t>
  </si>
  <si>
    <t>Szkoły Podstawowe</t>
  </si>
  <si>
    <t xml:space="preserve">GOSPODARKA KOMUNALNA I I OCHRONA ŚRODOWISKA </t>
  </si>
  <si>
    <t>Ogółem</t>
  </si>
  <si>
    <t>x</t>
  </si>
  <si>
    <t>KULTURA I OCHRONA DZIEDZICTWA NARODOWEGO</t>
  </si>
  <si>
    <t>PT budowy świetlicy wiejskiej w Międzyborzu</t>
  </si>
  <si>
    <t>PT budowy świetlicy wiejskiej w Sitowej</t>
  </si>
  <si>
    <t>PT budowy świetlicy wiejskiej wraz z pomieszczeniami dla potrzeb Szkoły Podstawowej w Woli Załężnej</t>
  </si>
  <si>
    <t>plan wydatków 
2010</t>
  </si>
  <si>
    <t>Nazwa sołectwa</t>
  </si>
  <si>
    <t>Zadania w zakresie kultury fizycznrej i sportu</t>
  </si>
  <si>
    <t>Miejski Dom Kultury-dotacja celowa - budowa świetlicy w Ostrowie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</si>
  <si>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</si>
  <si>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</si>
  <si>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</si>
  <si>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</si>
  <si>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 xml:space="preserve">środki z budżetu krajowego </t>
  </si>
  <si>
    <t>środki z budżetu UE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</si>
  <si>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</si>
  <si>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</si>
  <si>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</si>
  <si>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</si>
  <si>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</si>
  <si>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</si>
  <si>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</si>
  <si>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</si>
  <si>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</si>
  <si>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prefinansowanie z budżetu państwa</t>
  </si>
  <si>
    <t xml:space="preserve">pozostałe </t>
  </si>
  <si>
    <t>(6+7)</t>
  </si>
  <si>
    <t>(9+13)</t>
  </si>
  <si>
    <t>(10+11+12)</t>
  </si>
  <si>
    <t>(14+15+16+17)</t>
  </si>
  <si>
    <t>I</t>
  </si>
  <si>
    <t>Wydatki majątkowe razem</t>
  </si>
  <si>
    <t>600
60016</t>
  </si>
  <si>
    <t>z tego                      2008</t>
  </si>
  <si>
    <t>I.3</t>
  </si>
  <si>
    <t>900
90001</t>
  </si>
  <si>
    <t>OGÓŁEM (I+II)</t>
  </si>
  <si>
    <t>* wydatki obejmują wydatki bieżące i majątkowe ( dotyczące inwestycji rocznych i ujętych w wieloletnim programie inwestycyjnym )</t>
  </si>
  <si>
    <t xml:space="preserve">** środki własne JST, współfinansowanie z budżetu państwa oraz inne </t>
  </si>
  <si>
    <t>ze środków pochodzących z budżetu Unii Europejskiej ( art. 236 ust. 3 pkt 4 i ust.4 pkt 1 ustawy o finansach publicznych)</t>
  </si>
  <si>
    <t xml:space="preserve">Wydatki* na programy i projekty współfinansowane </t>
  </si>
  <si>
    <t>Regionalny Program Operacyjny Województwa Łódzkieg na lata 2007 - 2013</t>
  </si>
  <si>
    <t xml:space="preserve">Program: </t>
  </si>
  <si>
    <t>I - Infrastruktura transportowa</t>
  </si>
  <si>
    <t xml:space="preserve"> Oś Priorytetowa:</t>
  </si>
  <si>
    <t>I.1 - Drogi</t>
  </si>
  <si>
    <t>nazwa projektu:</t>
  </si>
  <si>
    <t>II - Ochrona środowiska</t>
  </si>
  <si>
    <t>II.1 - Gospodarka wodno-ściekowa</t>
  </si>
  <si>
    <t>nazwa projektu</t>
  </si>
  <si>
    <t>Budowa kanalizacji sanitarnej w gminie Opoczno - I etap, zlewnia Libiszów</t>
  </si>
  <si>
    <t>I.1</t>
  </si>
  <si>
    <t>Przebudowa kolektora deszczowego w ul.Krasickiego i Szkolnej do rzeki Wąglanki w Opocznie, dł.1986 mb</t>
  </si>
  <si>
    <t>Ochrona zabytków i opieka nad zabytkami</t>
  </si>
  <si>
    <t xml:space="preserve"> - Modernizacja dróg ul.Graniczna, ul.Św.Łukasza do ul.Św. Jana, ul. Kolbego, Powstańców Wlkp.- Słoneczna, Jana Pawła II (od ul.Inowłodzkiej do ul.Partyzantów), Staszica, Kolejowa, skrzyżowanie ul.Inowłodzkiej z ul. Św.Łukasza dł. 3200 mb + PT</t>
  </si>
  <si>
    <t xml:space="preserve">Budowa zakładu unieszkodliwiania odpadów w Różannie wraz z zamknięciem i rekultywacją składowiska </t>
  </si>
  <si>
    <r>
      <t>Działanie:</t>
    </r>
    <r>
      <rPr>
        <b/>
        <sz val="7"/>
        <rFont val="Arial"/>
        <family val="2"/>
      </rPr>
      <t xml:space="preserve"> </t>
    </r>
  </si>
  <si>
    <t>Usuwanie skutków klęsk żywiołowych</t>
  </si>
  <si>
    <t>Budowa drogi w m.Różanna dł 861 mb wraz z odwodnieniem-rowem przydrożnym</t>
  </si>
  <si>
    <t>par.</t>
  </si>
  <si>
    <t>zakup usług remontowych</t>
  </si>
  <si>
    <t>II - Ochrona środowiska, zapobieganie zagrożeniom i energetyka</t>
  </si>
  <si>
    <t>II.2 Gospodarka odpadami</t>
  </si>
  <si>
    <t>Budowa zakładu unieszkodliwiania odpadóww Różannie wraz z zamknięciem i rekultywacją składowiska</t>
  </si>
  <si>
    <t>900
90095</t>
  </si>
  <si>
    <t xml:space="preserve">z tego                          2009            </t>
  </si>
  <si>
    <t>razem spłata kredytów</t>
  </si>
  <si>
    <t>par</t>
  </si>
  <si>
    <t>zakup usługf remontowych</t>
  </si>
  <si>
    <t>zakup materiałów i wyposażenia</t>
  </si>
  <si>
    <t>wydatki inwestycyjne jednostek budżetowych</t>
  </si>
  <si>
    <t>zakuo usług pozostałych</t>
  </si>
  <si>
    <t>wydatki na zakupy inwestycyjne jedn.budżet.</t>
  </si>
  <si>
    <t>Bezpieczeństwo publiczne i ochrona 
przeciwpożarowa</t>
  </si>
  <si>
    <t>Budowa świetlicy wiejskiej w Modrzewiu</t>
  </si>
  <si>
    <t>Wykonanie kotłowni wraz z instalacją c.o., c.w. i wod.-kan. w budynku mieszkalnym Kraszków 45A</t>
  </si>
  <si>
    <t>Wykonanie wentylacji w budyknu komunalnym pl.Kościuszki 1  w Opocznie</t>
  </si>
  <si>
    <t xml:space="preserve">Budowa północno-zachodniej obwodnicy miasta Opoczna dla dróg krajowej nr 12, wojewódzkiej nr 726 w ciągach ulic: Przemysłowej nr 3133E 
i Świerkowej nr 3132E </t>
  </si>
  <si>
    <t>nagrody o charakterze szczególnym niezaliczone 
do wynagrodzeń</t>
  </si>
  <si>
    <t>zakup usług pozostałych</t>
  </si>
  <si>
    <t>szkolenia pracowników niebędących członkami 
korpusu słuzby cywilnej</t>
  </si>
  <si>
    <t>razem</t>
  </si>
  <si>
    <t>Przedszkole Nr 8</t>
  </si>
  <si>
    <t>plan wydatków 
2011</t>
  </si>
  <si>
    <t>Antoniów - 7.189,69</t>
  </si>
  <si>
    <t>Bielowice - 22.567,08</t>
  </si>
  <si>
    <t>Brzustówek - 12.464,85</t>
  </si>
  <si>
    <t>Bukowiec Op.- 18.065,88</t>
  </si>
  <si>
    <t>Dzielna - 16.436,49</t>
  </si>
  <si>
    <t>Janów Karwicki - 10.081,86</t>
  </si>
  <si>
    <t>Januszewice -12.383,38</t>
  </si>
  <si>
    <t>Karwice - 8.778,35</t>
  </si>
  <si>
    <t>Kliny - 10.998,40</t>
  </si>
  <si>
    <t>Kraszków - 11.772,36</t>
  </si>
  <si>
    <t>Kraśnica - 17.658,54</t>
  </si>
  <si>
    <t>Kruszewiec  - 14.868,20</t>
  </si>
  <si>
    <t>Libiszów Kol. - 10.326,27</t>
  </si>
  <si>
    <t>Libiszów Wieś - 10.387,37</t>
  </si>
  <si>
    <t>Międzybórz - 8.656,15</t>
  </si>
  <si>
    <t>Modrzew - 8.200,00</t>
  </si>
  <si>
    <t>Mroczków Duży - 13.564,69</t>
  </si>
  <si>
    <t>Ogonowice - 22.567,08</t>
  </si>
  <si>
    <t xml:space="preserve">Ostrów - 17.006,78
</t>
  </si>
  <si>
    <t>Różanna - 12.057,50</t>
  </si>
  <si>
    <t>Sitowa - 13.931,30</t>
  </si>
  <si>
    <t>Sobawiny - 12.872,20</t>
  </si>
  <si>
    <t>Sołek - 7.087,86</t>
  </si>
  <si>
    <t>Stużno Kol. - 7.047,12</t>
  </si>
  <si>
    <t>Stużno Wieś - 8.065,49</t>
  </si>
  <si>
    <t>Wola Załężna - 19.695,28</t>
  </si>
  <si>
    <t>Wygnanów - 11.772,36</t>
  </si>
  <si>
    <t>Ziębów - 6.884,18</t>
  </si>
  <si>
    <t>Plan wydatków funduszu sołeckiego" na rok 2011</t>
  </si>
  <si>
    <t>otrzymane spadki,zapisy i darowizny w postaci pieniężnej</t>
  </si>
  <si>
    <t>dotacje celowe z otrzymane z budżetu państwa na realizację zadań bieżących z zakresu administracji rzadowej oraz innych zadań zleconych gminie (związkom gmin) ustawami</t>
  </si>
  <si>
    <t>dotacje celowe w ramach programów finansowych z udziałem środków europejskich oraz środków, o których w art..5 ust.1 pkt 3 oraz ust. 3 pkt 5 i 6 ustawy, lub płatności w ramach budżetu środków europejskich</t>
  </si>
  <si>
    <t>wpływy z opłat za zarząd,użytkowanie i użytkowanie wieczyste nieruchomości</t>
  </si>
  <si>
    <t>wpływy z innych lokalnych opłat pobieranych przez
jednostki samorządu terytorialnego na podstawie odrębnych ustaw</t>
  </si>
  <si>
    <t>wpływy z różnych opłat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</si>
  <si>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</si>
  <si>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</si>
  <si>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wpływy z usług</t>
  </si>
  <si>
    <t>wpływy ze sprzedaży składników majątkowych</t>
  </si>
  <si>
    <t>odsetki od nieterminowych wpłat z tytułu podatków i opłat</t>
  </si>
  <si>
    <t>wpływy z różnych dochodów</t>
  </si>
  <si>
    <t>dochody jednostek samorządu terytorialnego związane z realizacją zadań z zakresu administracji rządowej oraz innych zadań zleconych ustawami</t>
  </si>
  <si>
    <t>grzywny i inne kary pieniezne od osób prawnych i jednostek administracyjnych</t>
  </si>
  <si>
    <t>grzywny, mandaty i inne kary pieniężne od ludności</t>
  </si>
  <si>
    <t>dotacje celowe otrzymane z budżetu państwa na realizację własnych zadań bieżących gmin (zwiąków gmin)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</si>
  <si>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</si>
  <si>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</si>
  <si>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</si>
  <si>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</si>
  <si>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</si>
  <si>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</si>
  <si>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</si>
  <si>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opłata od posiadania psów</t>
  </si>
  <si>
    <t>wpływy z opłaty targowej</t>
  </si>
  <si>
    <t>odsetki od nieterminowych wpłwt z tytułu podatków i opłat</t>
  </si>
  <si>
    <t>wpływy z opłaty skarbowej.</t>
  </si>
  <si>
    <t>wpływy z opłaty eksploatacyjnej</t>
  </si>
  <si>
    <t>rekompensaty utraconych dochodów w podatkach i opłatach lokalnych</t>
  </si>
  <si>
    <t>wpływy z róznych opłat</t>
  </si>
  <si>
    <t>podatek dochodowy od osób fizycznych</t>
  </si>
  <si>
    <t>podatek dochodowy od osób prawnych</t>
  </si>
  <si>
    <t>subwencje ogólne z budżetu państwa</t>
  </si>
  <si>
    <t>dotacje celowe otrzymane z gminy na zadania bieżące realizowane na podstawie porozumień (umów) między jednostkami samorządu terytorialnego</t>
  </si>
  <si>
    <t>pozostałe odsetki</t>
  </si>
  <si>
    <t>Gminny Zespół Obsługi Placówek Oświatowych</t>
  </si>
  <si>
    <t>Stołówki szkolne</t>
  </si>
  <si>
    <t>środki na dofinansowanie własnych zadań bieżących gmin (związków gmin), powiatów (związków powiatów), samorządów województw, pozyskane z innych źródeł</t>
  </si>
  <si>
    <t>wpływy z opłat za zezwolenia na sprzedaż alkoholu</t>
  </si>
  <si>
    <t>dochody jednostek samorzadu terytorialnego związane z realizacją zadań z zakresu administracji rządowej oraz innych zadań zleconych ustawami</t>
  </si>
  <si>
    <t>środki na dofinansowanie własnych inwestycji gmin (związków gmin), powiatów (związków powiatów), samorządów województw, pozyskane z innych źródeł</t>
  </si>
  <si>
    <t>dywidendy i kwoty uzyskane ze zbycia praw majątkowych</t>
  </si>
  <si>
    <t>plan 2011</t>
  </si>
  <si>
    <t>wynagrodzenia osobowe pracowników</t>
  </si>
  <si>
    <t>składki na ubezpieczenia społeczne</t>
  </si>
  <si>
    <t>składki na Fundusz Pracy</t>
  </si>
  <si>
    <t>różne opłaty i składki</t>
  </si>
  <si>
    <t>dodatkowe wynagrodzenie roczne</t>
  </si>
  <si>
    <t>składki na fundusz pracy</t>
  </si>
  <si>
    <t>wydatki osobowe niezaliczone do wynagrodzeń</t>
  </si>
  <si>
    <t>wynagrodzenia bezosobowe</t>
  </si>
  <si>
    <t>opłaty z tytułu zakupu usług telekomunikacyjnych świadczonych w stacjonarnej publicznej sieci telefonicznej</t>
  </si>
  <si>
    <t>podróże służbowe krajowe</t>
  </si>
  <si>
    <t>URZĘDY NACZELNYCH ORGANÓW WŁADZY PAŃSTWOWEJ KONTROLI I OCHRONY PRAWA ORAZ SĄDOWNICTWA</t>
  </si>
  <si>
    <t>Urzędy naczelnych organów władzy państwowej kontroli i ochrony państwa</t>
  </si>
  <si>
    <t>różne wydatki na rzecz osób fizycznych</t>
  </si>
  <si>
    <t>zakup energii</t>
  </si>
  <si>
    <t>BEZPIECZEŃSTWO PUBLICZNE I OCHRONA 
PRZECIWPOŻAROWA</t>
  </si>
  <si>
    <t>dotacja celowa z budżetu na finansowanie lub dofinansowanie zadań zleconych do realizacji fundacjom</t>
  </si>
  <si>
    <t>Świadczenia rodzinne, świadczenie z funduszu alimentacyjnego oraz składki na ubezpieczenia emerytalne i rentowe z ubezpieczenia społecznego</t>
  </si>
  <si>
    <t>nagrody i wydatki osobowe niezaliczane do wynagrodzeń</t>
  </si>
  <si>
    <t>świadczenia społeczne</t>
  </si>
  <si>
    <t>zakup usług zdrowotnych</t>
  </si>
  <si>
    <t>zakup usług dostępu do sieci Internet</t>
  </si>
  <si>
    <t>odpis na ZFŚS</t>
  </si>
  <si>
    <t>szkolenia pracowników niebędących członkami korpusu słuzby cywilnej</t>
  </si>
  <si>
    <t>składki na ubezpieczenia zdrowotne</t>
  </si>
  <si>
    <t>Plan 2011</t>
  </si>
  <si>
    <t>plan wydatków 2011</t>
  </si>
  <si>
    <t>wydatki na programy 
finans.z udziałem śr.o których mowa w art..5 ust.1pkt 2 i 3 u o fin.publ.</t>
  </si>
  <si>
    <t>Izby Rolnicze</t>
  </si>
  <si>
    <t>wpłaty gminy na rzecz Izb Rolniczych w wysokości 2% uzyskanych wpływów z podatku rolnego</t>
  </si>
  <si>
    <t>Lokalny transport zbiorczy</t>
  </si>
  <si>
    <t>Gospodarka grutami i nieruchomościami</t>
  </si>
  <si>
    <t>kary i odszkodowania wypłacane na rzecz osób fizycznych</t>
  </si>
  <si>
    <t>wydatki na zakupy inwestycyjne jednostek budżetowych</t>
  </si>
  <si>
    <t>koszty postępowania sądowego i prokuratorskeigo</t>
  </si>
  <si>
    <t>opłaty z tytułu zakupu usług telekomunikacyjnych 
telefonii stacjonarnej</t>
  </si>
  <si>
    <t>Rady gmin (miast i miast na prawach powiatu)</t>
  </si>
  <si>
    <t>opłaty z tytułu zakupu usług telekomunikacyjnych 
telefonii komórkowej</t>
  </si>
  <si>
    <t>wpłaty na PFRON</t>
  </si>
  <si>
    <t>podróże służbowe zagraniczne</t>
  </si>
  <si>
    <t>podatek od towarów i usług (VAT)</t>
  </si>
  <si>
    <t>153/OA/P/2006</t>
  </si>
  <si>
    <t>007/GW/P/2005</t>
  </si>
  <si>
    <t>kwota do spłaty
w 2011 r.</t>
  </si>
  <si>
    <t>WFOŚiGW w Łodzi – Budowa kanalizacji deszczowej w ul.Kuligowskiej w Opocznie-umowa o umorzenie</t>
  </si>
  <si>
    <t>kredyt na pokrycie deficytu roku 2009-ING</t>
  </si>
  <si>
    <t>kredyt na pokrycie deficytu roku 2010-PKO BP SA</t>
  </si>
  <si>
    <t>Termomodernizacja budynku szkoły podstawowej w Libiszowie - umowa o umorzenie</t>
  </si>
  <si>
    <t>Budowa sieci wodociągowej z przyłączami  w m.Zameczek, Wygnanow, Wólka Karwicka - umowa o umorzenie</t>
  </si>
  <si>
    <t xml:space="preserve">Zakup odkurzacza do świetlicy w Karwicach </t>
  </si>
  <si>
    <t>Przychody i rozchody budżetu w 2011 r.</t>
  </si>
  <si>
    <t xml:space="preserve">Plan dochodów związanych z realizacją zadań zlecanych jednostkom samorządu terytorialnego </t>
  </si>
  <si>
    <t>plan
dochodów</t>
  </si>
  <si>
    <t>Administracja Publiczna</t>
  </si>
  <si>
    <t>wpływy z usług - wpływy za udostępnienie danych osobowych</t>
  </si>
  <si>
    <t>Pomoc społeczna</t>
  </si>
  <si>
    <t>wpływy z tytułu zwrotów wypłaconych świadczeń z 
funduszu alimentacyjnego</t>
  </si>
  <si>
    <t>przychody</t>
  </si>
  <si>
    <t>stan środków obrotowych netto na 
początek roku</t>
  </si>
  <si>
    <t>razem przychód</t>
  </si>
  <si>
    <t>Plan przychodów i kosztów Krytej Pływalni "Opoczyńska Fala"</t>
  </si>
  <si>
    <t xml:space="preserve">koszty </t>
  </si>
  <si>
    <t>razem koszty</t>
  </si>
  <si>
    <t>stan środków obrotowych netto na 
koniec roku</t>
  </si>
  <si>
    <t>ogółem</t>
  </si>
  <si>
    <t>wpłata do budżetu nadwyżki środków obrotowych przez samorządowy zakład budżetowy</t>
  </si>
  <si>
    <t>zakup usług obejmujących wykonanie ekspertyz, analiz 
i opinii</t>
  </si>
  <si>
    <t>opłaty na rzecz budżetów jednostek samorządu 
terytorialnego</t>
  </si>
  <si>
    <t>pozostałe</t>
  </si>
  <si>
    <t>Plan ogółem 2011</t>
  </si>
  <si>
    <t>plan</t>
  </si>
  <si>
    <t>wpływy do budżetu nadwyżki środków obrotowych samorządowego zakładu budżetowego</t>
  </si>
  <si>
    <t>Oświetlenie uliczne</t>
  </si>
  <si>
    <t>PT oświetlenia Bukowiec (Komorniki) dł.900 mb</t>
  </si>
  <si>
    <t>PT oświetlenia ulicznego w m.Wygnanów dł.500 mb</t>
  </si>
  <si>
    <t>PT oświetlenia ulicznego w m.Januszewice dł 40 mb</t>
  </si>
  <si>
    <t>Przychody z zaciagniętych pożyczek i kredytów na rynku 
krajowym - kredyty</t>
  </si>
  <si>
    <t>Przychody z zaciagniętych pożyczek i kredytów na rynku 
krajowym -pożyczki</t>
  </si>
  <si>
    <t>Przychody z zaciągnietych pozyczek na finansowanie zadań realizowanych z udziałem środków pochodzących z budżetu UE</t>
  </si>
  <si>
    <t>Przychody ze spłat pożyczek i kredytów udzielonych ze 
środków publicznych</t>
  </si>
  <si>
    <t xml:space="preserve">Pozostałe przychody z prywatyzacji </t>
  </si>
  <si>
    <t>Nadwyżki z lat ubiegłych</t>
  </si>
  <si>
    <t>Przychody ze sprzedaży innych papierów wartościowych</t>
  </si>
  <si>
    <t>Spłaty pożyczek otrzymanych na finansowanie zadań realizowanych z udziałem środków pochodzących z budżetu UE</t>
  </si>
  <si>
    <t>Udzielone pożyczki i kredyty</t>
  </si>
  <si>
    <t>Przelewy na rachunki lokat</t>
  </si>
  <si>
    <t>Wykup innych papierów wartościowych</t>
  </si>
  <si>
    <t>Rozchody z tytułu innych rozliczeń krajowych</t>
  </si>
  <si>
    <t>Spłaty otrzymanych krajowych pożyczek i kredytów 
- kredyty</t>
  </si>
  <si>
    <t>Spłaty otrzymanych krajowych pożyczek i kredytów 
- pożyczki</t>
  </si>
  <si>
    <t xml:space="preserve">
pożyczki</t>
  </si>
  <si>
    <t xml:space="preserve"> - Modernizacja Janasa, Zjazdowa, Szpitalna, pl. Kilińskiego, dł. 500 mb</t>
  </si>
  <si>
    <t xml:space="preserve"> - Budowa ul.Działkowej z włączeniem ul.Kuligowskiej dł. 1150 mb z oświetleniem ulicznym + PT</t>
  </si>
  <si>
    <t xml:space="preserve"> - Modernizacja ul.Św.Marka, M.C.Skłodowskiej do ul.Inowlodzkiej dł 1810mb + oświetlenie uliczne Św.Marka, parking ul.M.C.Skłodowskiej 6</t>
  </si>
  <si>
    <t>Budowa ul.Puchały dł.440 mb PT+mapy podziału</t>
  </si>
  <si>
    <t>Budowa ul.Wiejskiej dł 315 mb z kanalizacją deszczową + PT</t>
  </si>
  <si>
    <t xml:space="preserve">Budowa ul. prostopadłej do ul. Szkolnej </t>
  </si>
  <si>
    <t>Budowa infrastruktury wodno-ściekowej na terenie gminy Opoczno etap II</t>
  </si>
  <si>
    <t>Budowa kanalizacji sanitarnej zlewnia Kliny+PT</t>
  </si>
  <si>
    <t>Budowa kanalizacji sanitarnej. Zlewnia Bielowice + PT dł. Sieci 24.118m, przyłącza, oczyszczalnia</t>
  </si>
  <si>
    <t>Budowa włączenia ul. Długiej w ul. Przemysłową dł. 188mb</t>
  </si>
  <si>
    <t>Budowa Domu Ludowego i świetlicy w Kraśnicy</t>
  </si>
  <si>
    <t>Budowa budynku socjalnego (szatni) przy boisku 
sportowym w Bielowicach</t>
  </si>
  <si>
    <t>Rozbudowa  ul.Kopernika dł 290 mb</t>
  </si>
  <si>
    <t>Zmiana sposobu użytkowania pomieszczeń biurowych na lokale mieszkalne - ul.Kolberga 3 i 3a w Opocznie</t>
  </si>
  <si>
    <t>PT zmiany sposobu użytkowania części budynku mieszkalnego ul.Kowalskiego 20/10 na pomieszczenia administracyjne</t>
  </si>
  <si>
    <t>PT i wykonanie ogrzewania z wykorzystaniem pomp ciepła dla pomieszczeń dolnej części Kościoła Podwyższenia Krzyża Św. przeznaczonych dla Środowiskowego Domu Samopomocy dla Osób z Zaburzeniami Psychicznymi</t>
  </si>
  <si>
    <t xml:space="preserve"> - Modernizacja dróg  Biernackiego, Słowackiego dł. 1445 mb (w tym przebudowa nawierzchni) + PT wraz z rozbudową skrzyżowania ulic W.Perzyńskiego i E. Biernackiego z drogą wojewódzką 726 w Opocznie</t>
  </si>
  <si>
    <t>Modernizacja Targowiska Miejskiego przy ul Piotrkowskeij 66: zadaszenie 3300 m2, kanalizacja deszczowa dł.100mb, zasilanie elektryczne</t>
  </si>
  <si>
    <t>Budowa przyłącza kanalizacji deszczowej odwadniającego remontowane pomieszczenia dolnej części kościoła Podwyższenia Krzyża przeznaczone dla SDS</t>
  </si>
  <si>
    <t>Wykonanie płyt boisk sportowych o nawierzchni trawiastej o wymiarach 100x64 m w m.Sitowa i Januszewice</t>
  </si>
  <si>
    <t>Wykonanie automatyki przy bramie wjazdowej na plac Urzędu Miejskiego</t>
  </si>
  <si>
    <t xml:space="preserve">Wykonanie monitoringu zewnętrznego budynku głównego Urzędu Miejskiego oraz parkingu i podwórka </t>
  </si>
  <si>
    <t>9.</t>
  </si>
  <si>
    <t>rozliczenia z bankami związane z obsługą długu 
publicznego</t>
  </si>
  <si>
    <t>zakup usług obejmujących wykonanie ekspertyz, analiz i opinii</t>
  </si>
  <si>
    <t>odsetki od dotacji oraz płatności: wykorzystanych niezgodnie z przeznaczeniem lub wykorzystanych z naruszeneim procedur, o których mowa w art..184 ustawy, pobranych nienależnie lub w nadmiernej wysokości</t>
  </si>
  <si>
    <t>Kwota
2011 r.</t>
  </si>
  <si>
    <t>Promocja gminy</t>
  </si>
  <si>
    <t>I.2</t>
  </si>
  <si>
    <t>Działanie:</t>
  </si>
  <si>
    <t>Program Rozwoju Obszarów Wiejskich na lata 2007-2013</t>
  </si>
  <si>
    <t xml:space="preserve"> 3 - Jakość życia na obszarach wiejskich i różnicowanie gopsodarki wiejskiej</t>
  </si>
  <si>
    <t>313,322, 323 - Odnowa i rozwój wsi</t>
  </si>
  <si>
    <t>Budowa budynku socjalnego (szatni) przy boisku sportowym w Bielowicach Gmina Opoczno</t>
  </si>
  <si>
    <t>I.4</t>
  </si>
  <si>
    <t>926
92601</t>
  </si>
  <si>
    <t xml:space="preserve">z tego                          2010            </t>
  </si>
  <si>
    <t xml:space="preserve">2011 r. </t>
  </si>
  <si>
    <t>Oś Priorytetowa:</t>
  </si>
  <si>
    <t xml:space="preserve">Oś Priorytetowa: </t>
  </si>
  <si>
    <t>V - Infrastruktura społeczna</t>
  </si>
  <si>
    <t>V.4 - Infrastruktura kultury</t>
  </si>
  <si>
    <t>921
92109</t>
  </si>
  <si>
    <t xml:space="preserve">z tego                          2011            </t>
  </si>
  <si>
    <t>I.5</t>
  </si>
  <si>
    <t>Program Operacyjny Kapitał Ludzki 2007-2013</t>
  </si>
  <si>
    <t xml:space="preserve">Priorytet: </t>
  </si>
  <si>
    <t>IX - Rozwój wykształcenia i kompetencji w regionach</t>
  </si>
  <si>
    <t xml:space="preserve">Działanie: </t>
  </si>
  <si>
    <t>9.1 Wyrównanie szans edukacyjnych i zapewnienie wysokiej jakości usług edukacyjnych świadczonych w systemie oświaty</t>
  </si>
  <si>
    <t>Dobra szkoła naszą szansą</t>
  </si>
  <si>
    <t>801
80195</t>
  </si>
  <si>
    <t>II</t>
  </si>
  <si>
    <t>Wydatki bieżące razem</t>
  </si>
  <si>
    <t>II.1</t>
  </si>
  <si>
    <t xml:space="preserve">KULTURA FIZYCZNA </t>
  </si>
  <si>
    <t xml:space="preserve">Zadania w zakresie kultury fizycznej </t>
  </si>
  <si>
    <t>Straż gminna (miejska)</t>
  </si>
  <si>
    <t xml:space="preserve">Wolne środki, o których mowa w art..217 ust.2 pkt 6 
ustawy </t>
  </si>
  <si>
    <t>§ 950</t>
  </si>
  <si>
    <t xml:space="preserve">dotacje celowe z budżetu jednostki samorządu terytorialnego, udzielone w trybie art. 221 ustawy, na finansowanie lub 
dofinansowanie zadań zleconych do realizacji organizacjom prowadzącym działalność pożytku publicznego
</t>
  </si>
  <si>
    <t>Załącznik Nr 3
do Uchwały Nr IV/30/11
Rady Miejskiej w Opocznie
z dnia 28 stycznia 2011 r.</t>
  </si>
  <si>
    <t>plan zadań inwestycyjnych w 2011 r.</t>
  </si>
  <si>
    <t>Załącznik Nr 4
do Uchwały Nr IV/30/11
Rady Miejskiej w Opocznie
z dnia 28 stycznia 2011 r.</t>
  </si>
  <si>
    <t xml:space="preserve">Razem </t>
  </si>
  <si>
    <t>Załacznik Nr 5
do Uchwały Nr IV/30/11
Rady Miejskiej w Opocznie 
z dnia 28 stycznia 2011 r.</t>
  </si>
  <si>
    <t>Rozchody związane ze spłatą pożyczek i kredytów w 2011 roku</t>
  </si>
  <si>
    <t>Załącznik Nr 5a
do Uchwały Nr IV/30/11
Rady Miejskiej w Opocznie
z dnia 28 stycznia 2011 r.</t>
  </si>
  <si>
    <t>Załącznik Nr 6a
do Uchwały Nr IV/30/11
Rady Miejskiej w Opocznie
z dnia 28 stycznia 2011 r.</t>
  </si>
  <si>
    <t>Załącznik Nr 6
do Uchwały Nr IV/30/11
Rady Miejskiej w Opocznie
z dnia 28 stycznia 2011 r.</t>
  </si>
  <si>
    <t>plan wydatków funduszu sołeckiego w rozbiciu na sołectwa</t>
  </si>
  <si>
    <t>Załącznik Nr 7
do Uchwały Nr IV/30/11
Rady Miejskiej w Opocznie
z dnia 28 stycznia 2011 r.</t>
  </si>
  <si>
    <t>Plan wydatków na 2011 rok - środków dotyczących ochrony środowiska</t>
  </si>
  <si>
    <t>Załącznik nr 8
do Uchwały Nr IV/30/11
Rady Miejskiej w Opocznie
z dnia 28 stycznia 2011 r.</t>
  </si>
  <si>
    <t>Załącznik Nr 9
do Uchwały Nr IV/30/11
Rady Miejskiej w Opocznie
z dnia 28 stycznia 2011 r.</t>
  </si>
  <si>
    <t>Załącznik nr 10
do Uchwały Nr IV/30/11
Rady Miejskiej w Opocznie
z dnia 28 stycznia 2011 r.</t>
  </si>
  <si>
    <t>Załącznik nr 11
do Uchwały Nr IV/30/11
Rady Miejskiej w Opocznie
z dnia 28 stycznia 2011 r.</t>
  </si>
  <si>
    <t>Załącznik Nr 1
do Uchwały Nr IV/30/11
Rady Miejskiej w Opocznie
z dnia 28 stycznia 2011 r.</t>
  </si>
  <si>
    <t>Załącznik Nr 2
do Uchwały Nr IV/30/11
Rady Miejskiej w Opocznie
z dnia 28 stycznia 2011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</si>
</sst>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"/>
    <numFmt numFmtId="166" formatCode="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72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i/>
      <sz val="8"/>
      <color indexed="12"/>
      <name val="Arial CE"/>
      <family val="0"/>
    </font>
    <font>
      <b/>
      <sz val="12"/>
      <name val="Bookman Old Style"/>
      <family val="1"/>
    </font>
    <font>
      <sz val="7"/>
      <name val="Arial"/>
      <family val="2"/>
    </font>
    <font>
      <sz val="6"/>
      <name val="Arial"/>
      <family val="0"/>
    </font>
    <font>
      <sz val="6"/>
      <name val="Arial CE"/>
      <family val="0"/>
    </font>
    <font>
      <b/>
      <sz val="7"/>
      <name val="Arial"/>
      <family val="2"/>
    </font>
    <font>
      <b/>
      <sz val="6"/>
      <name val="Arial CE"/>
      <family val="0"/>
    </font>
    <font>
      <b/>
      <sz val="7"/>
      <name val="Arial CE"/>
      <family val="0"/>
    </font>
    <font>
      <sz val="7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sz val="8"/>
      <color indexed="12"/>
      <name val="Arial"/>
      <family val="0"/>
    </font>
    <font>
      <i/>
      <sz val="8"/>
      <name val="Arial"/>
      <family val="0"/>
    </font>
    <font>
      <b/>
      <i/>
      <sz val="8"/>
      <name val="Arial"/>
      <family val="2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b/>
      <i/>
      <sz val="8"/>
      <name val="Arial CE"/>
      <family val="2"/>
    </font>
    <font>
      <b/>
      <i/>
      <sz val="8"/>
      <color indexed="12"/>
      <name val="Arial CE"/>
      <family val="0"/>
    </font>
    <font>
      <sz val="12"/>
      <name val="Arial CE"/>
      <family val="2"/>
    </font>
    <font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92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" fontId="4" fillId="0" borderId="13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3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wrapText="1"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0" fontId="3" fillId="0" borderId="14" xfId="0" applyFont="1" applyFill="1" applyBorder="1" applyAlignment="1">
      <alignment wrapText="1"/>
    </xf>
    <xf numFmtId="4" fontId="7" fillId="0" borderId="12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 vertical="center"/>
    </xf>
    <xf numFmtId="4" fontId="4" fillId="0" borderId="16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4" fontId="3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 wrapText="1"/>
    </xf>
    <xf numFmtId="0" fontId="0" fillId="0" borderId="19" xfId="0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 wrapText="1"/>
    </xf>
    <xf numFmtId="3" fontId="4" fillId="0" borderId="23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/>
    </xf>
    <xf numFmtId="4" fontId="4" fillId="0" borderId="16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2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5" xfId="0" applyFont="1" applyBorder="1" applyAlignment="1">
      <alignment wrapText="1"/>
    </xf>
    <xf numFmtId="4" fontId="3" fillId="0" borderId="18" xfId="0" applyNumberFormat="1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4" fontId="3" fillId="0" borderId="18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0" fontId="3" fillId="0" borderId="14" xfId="0" applyFont="1" applyBorder="1" applyAlignment="1">
      <alignment vertical="center"/>
    </xf>
    <xf numFmtId="4" fontId="3" fillId="0" borderId="14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 wrapText="1"/>
    </xf>
    <xf numFmtId="0" fontId="15" fillId="0" borderId="11" xfId="0" applyFont="1" applyBorder="1" applyAlignment="1">
      <alignment horizontal="center"/>
    </xf>
    <xf numFmtId="4" fontId="6" fillId="0" borderId="13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/>
    </xf>
    <xf numFmtId="0" fontId="17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1" xfId="0" applyFont="1" applyBorder="1" applyAlignment="1">
      <alignment/>
    </xf>
    <xf numFmtId="0" fontId="13" fillId="0" borderId="12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0" xfId="0" applyFont="1" applyBorder="1" applyAlignment="1">
      <alignment/>
    </xf>
    <xf numFmtId="0" fontId="13" fillId="0" borderId="17" xfId="0" applyFont="1" applyBorder="1" applyAlignment="1">
      <alignment horizontal="left" wrapText="1"/>
    </xf>
    <xf numFmtId="0" fontId="15" fillId="0" borderId="13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right" wrapText="1"/>
    </xf>
    <xf numFmtId="0" fontId="15" fillId="0" borderId="28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0" fontId="13" fillId="0" borderId="29" xfId="0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27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4" fontId="6" fillId="0" borderId="16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4" fontId="6" fillId="0" borderId="27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3" xfId="0" applyFont="1" applyBorder="1" applyAlignment="1">
      <alignment horizontal="left" wrapText="1"/>
    </xf>
    <xf numFmtId="0" fontId="15" fillId="0" borderId="30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13" fillId="0" borderId="13" xfId="0" applyFont="1" applyBorder="1" applyAlignment="1">
      <alignment horizontal="right" wrapText="1"/>
    </xf>
    <xf numFmtId="0" fontId="14" fillId="0" borderId="30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3" fillId="0" borderId="27" xfId="0" applyFont="1" applyBorder="1" applyAlignment="1">
      <alignment horizontal="left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21" fillId="0" borderId="0" xfId="0" applyFont="1" applyAlignment="1">
      <alignment/>
    </xf>
    <xf numFmtId="0" fontId="21" fillId="0" borderId="12" xfId="0" applyFont="1" applyBorder="1" applyAlignment="1">
      <alignment/>
    </xf>
    <xf numFmtId="4" fontId="21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12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3" fillId="0" borderId="12" xfId="0" applyFont="1" applyBorder="1" applyAlignment="1">
      <alignment/>
    </xf>
    <xf numFmtId="0" fontId="21" fillId="0" borderId="12" xfId="0" applyFont="1" applyBorder="1" applyAlignment="1">
      <alignment/>
    </xf>
    <xf numFmtId="4" fontId="21" fillId="0" borderId="12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30" xfId="0" applyFont="1" applyBorder="1" applyAlignment="1">
      <alignment/>
    </xf>
    <xf numFmtId="0" fontId="0" fillId="0" borderId="30" xfId="0" applyBorder="1" applyAlignment="1">
      <alignment/>
    </xf>
    <xf numFmtId="0" fontId="20" fillId="0" borderId="30" xfId="0" applyFont="1" applyBorder="1" applyAlignment="1">
      <alignment/>
    </xf>
    <xf numFmtId="4" fontId="20" fillId="0" borderId="30" xfId="0" applyNumberFormat="1" applyFont="1" applyBorder="1" applyAlignment="1">
      <alignment/>
    </xf>
    <xf numFmtId="0" fontId="20" fillId="0" borderId="31" xfId="0" applyFont="1" applyBorder="1" applyAlignment="1">
      <alignment/>
    </xf>
    <xf numFmtId="4" fontId="20" fillId="0" borderId="31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32" xfId="0" applyFont="1" applyBorder="1" applyAlignment="1">
      <alignment/>
    </xf>
    <xf numFmtId="4" fontId="21" fillId="0" borderId="13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4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0" fillId="0" borderId="14" xfId="0" applyFont="1" applyBorder="1" applyAlignment="1">
      <alignment wrapText="1"/>
    </xf>
    <xf numFmtId="4" fontId="20" fillId="0" borderId="14" xfId="0" applyNumberFormat="1" applyFont="1" applyBorder="1" applyAlignment="1">
      <alignment/>
    </xf>
    <xf numFmtId="4" fontId="24" fillId="0" borderId="14" xfId="0" applyNumberFormat="1" applyFont="1" applyBorder="1" applyAlignment="1">
      <alignment/>
    </xf>
    <xf numFmtId="0" fontId="21" fillId="0" borderId="19" xfId="0" applyFont="1" applyBorder="1" applyAlignment="1">
      <alignment/>
    </xf>
    <xf numFmtId="4" fontId="21" fillId="0" borderId="19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9" xfId="0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5" xfId="0" applyFont="1" applyBorder="1" applyAlignment="1">
      <alignment/>
    </xf>
    <xf numFmtId="4" fontId="20" fillId="0" borderId="14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0" fontId="3" fillId="0" borderId="25" xfId="0" applyFont="1" applyFill="1" applyBorder="1" applyAlignment="1">
      <alignment/>
    </xf>
    <xf numFmtId="4" fontId="20" fillId="0" borderId="25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0" fontId="25" fillId="0" borderId="0" xfId="0" applyFont="1" applyAlignment="1">
      <alignment/>
    </xf>
    <xf numFmtId="0" fontId="21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2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21" fillId="0" borderId="34" xfId="0" applyFont="1" applyBorder="1" applyAlignment="1">
      <alignment/>
    </xf>
    <xf numFmtId="1" fontId="3" fillId="0" borderId="35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21" fillId="0" borderId="13" xfId="0" applyNumberFormat="1" applyFont="1" applyBorder="1" applyAlignment="1">
      <alignment/>
    </xf>
    <xf numFmtId="0" fontId="21" fillId="0" borderId="16" xfId="0" applyFont="1" applyBorder="1" applyAlignment="1">
      <alignment/>
    </xf>
    <xf numFmtId="4" fontId="21" fillId="0" borderId="16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4" fontId="26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3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9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" fillId="0" borderId="3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1" fillId="0" borderId="38" xfId="0" applyFont="1" applyBorder="1" applyAlignment="1">
      <alignment/>
    </xf>
    <xf numFmtId="4" fontId="7" fillId="0" borderId="33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7" fillId="0" borderId="33" xfId="0" applyFont="1" applyBorder="1" applyAlignment="1">
      <alignment horizontal="center"/>
    </xf>
    <xf numFmtId="0" fontId="4" fillId="0" borderId="33" xfId="0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0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27" xfId="0" applyFont="1" applyBorder="1" applyAlignment="1">
      <alignment/>
    </xf>
    <xf numFmtId="0" fontId="29" fillId="0" borderId="0" xfId="0" applyFont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166" fontId="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4" fontId="4" fillId="0" borderId="13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4" fillId="0" borderId="16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3" fillId="0" borderId="22" xfId="0" applyNumberFormat="1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5" fontId="4" fillId="0" borderId="13" xfId="0" applyNumberFormat="1" applyFont="1" applyBorder="1" applyAlignment="1">
      <alignment/>
    </xf>
    <xf numFmtId="0" fontId="0" fillId="0" borderId="39" xfId="0" applyFont="1" applyBorder="1" applyAlignment="1">
      <alignment/>
    </xf>
    <xf numFmtId="166" fontId="4" fillId="0" borderId="39" xfId="0" applyNumberFormat="1" applyFont="1" applyBorder="1" applyAlignment="1">
      <alignment/>
    </xf>
    <xf numFmtId="165" fontId="4" fillId="0" borderId="39" xfId="0" applyNumberFormat="1" applyFont="1" applyBorder="1" applyAlignment="1">
      <alignment/>
    </xf>
    <xf numFmtId="0" fontId="4" fillId="0" borderId="39" xfId="0" applyFont="1" applyBorder="1" applyAlignment="1">
      <alignment/>
    </xf>
    <xf numFmtId="4" fontId="4" fillId="0" borderId="39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vertical="center" wrapText="1"/>
    </xf>
    <xf numFmtId="0" fontId="0" fillId="0" borderId="16" xfId="0" applyBorder="1" applyAlignment="1">
      <alignment/>
    </xf>
    <xf numFmtId="165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0" fillId="0" borderId="19" xfId="0" applyBorder="1" applyAlignment="1">
      <alignment/>
    </xf>
    <xf numFmtId="0" fontId="20" fillId="0" borderId="19" xfId="0" applyFont="1" applyBorder="1" applyAlignment="1">
      <alignment/>
    </xf>
    <xf numFmtId="4" fontId="20" fillId="0" borderId="19" xfId="0" applyNumberFormat="1" applyFont="1" applyBorder="1" applyAlignment="1">
      <alignment/>
    </xf>
    <xf numFmtId="0" fontId="21" fillId="0" borderId="24" xfId="0" applyFont="1" applyBorder="1" applyAlignment="1">
      <alignment/>
    </xf>
    <xf numFmtId="4" fontId="21" fillId="0" borderId="24" xfId="0" applyNumberFormat="1" applyFont="1" applyBorder="1" applyAlignment="1">
      <alignment/>
    </xf>
    <xf numFmtId="0" fontId="21" fillId="0" borderId="14" xfId="0" applyFont="1" applyBorder="1" applyAlignment="1">
      <alignment/>
    </xf>
    <xf numFmtId="4" fontId="21" fillId="0" borderId="14" xfId="0" applyNumberFormat="1" applyFont="1" applyBorder="1" applyAlignment="1">
      <alignment/>
    </xf>
    <xf numFmtId="0" fontId="21" fillId="0" borderId="38" xfId="0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3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6" fontId="3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4" fontId="3" fillId="0" borderId="22" xfId="0" applyNumberFormat="1" applyFont="1" applyFill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164" fontId="10" fillId="0" borderId="12" xfId="0" applyNumberFormat="1" applyFont="1" applyBorder="1" applyAlignment="1">
      <alignment horizontal="right"/>
    </xf>
    <xf numFmtId="0" fontId="4" fillId="0" borderId="19" xfId="0" applyFont="1" applyFill="1" applyBorder="1" applyAlignment="1">
      <alignment wrapText="1"/>
    </xf>
    <xf numFmtId="0" fontId="4" fillId="0" borderId="16" xfId="0" applyFont="1" applyBorder="1" applyAlignment="1">
      <alignment/>
    </xf>
    <xf numFmtId="164" fontId="3" fillId="0" borderId="13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5" fontId="21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165" fontId="20" fillId="0" borderId="12" xfId="0" applyNumberFormat="1" applyFont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165" fontId="4" fillId="0" borderId="13" xfId="0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166" fontId="3" fillId="0" borderId="16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right" vertical="center"/>
    </xf>
    <xf numFmtId="166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64" fontId="3" fillId="0" borderId="22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wrapText="1"/>
    </xf>
    <xf numFmtId="4" fontId="7" fillId="0" borderId="16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6" fontId="4" fillId="0" borderId="19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0" fontId="20" fillId="0" borderId="13" xfId="0" applyFont="1" applyBorder="1" applyAlignment="1">
      <alignment/>
    </xf>
    <xf numFmtId="165" fontId="20" fillId="0" borderId="13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165" fontId="3" fillId="0" borderId="10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right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/>
    </xf>
    <xf numFmtId="0" fontId="3" fillId="0" borderId="22" xfId="0" applyFont="1" applyBorder="1" applyAlignment="1">
      <alignment/>
    </xf>
    <xf numFmtId="4" fontId="3" fillId="0" borderId="14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28" fillId="0" borderId="13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28" fillId="0" borderId="12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12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27" fillId="0" borderId="16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vertical="center"/>
    </xf>
    <xf numFmtId="166" fontId="3" fillId="0" borderId="14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center"/>
    </xf>
    <xf numFmtId="0" fontId="20" fillId="0" borderId="13" xfId="0" applyFont="1" applyFill="1" applyBorder="1" applyAlignment="1">
      <alignment/>
    </xf>
    <xf numFmtId="0" fontId="20" fillId="0" borderId="32" xfId="0" applyFont="1" applyBorder="1" applyAlignment="1">
      <alignment/>
    </xf>
    <xf numFmtId="4" fontId="20" fillId="0" borderId="13" xfId="0" applyNumberFormat="1" applyFont="1" applyBorder="1" applyAlignment="1">
      <alignment/>
    </xf>
    <xf numFmtId="4" fontId="20" fillId="0" borderId="32" xfId="0" applyNumberFormat="1" applyFont="1" applyBorder="1" applyAlignment="1">
      <alignment/>
    </xf>
    <xf numFmtId="4" fontId="20" fillId="0" borderId="41" xfId="0" applyNumberFormat="1" applyFont="1" applyBorder="1" applyAlignment="1">
      <alignment/>
    </xf>
    <xf numFmtId="0" fontId="20" fillId="0" borderId="13" xfId="0" applyFont="1" applyFill="1" applyBorder="1" applyAlignment="1">
      <alignment/>
    </xf>
    <xf numFmtId="0" fontId="24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4" fontId="20" fillId="0" borderId="12" xfId="0" applyNumberFormat="1" applyFont="1" applyBorder="1" applyAlignment="1">
      <alignment/>
    </xf>
    <xf numFmtId="0" fontId="20" fillId="0" borderId="13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20" fillId="0" borderId="27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0" fontId="23" fillId="0" borderId="12" xfId="0" applyFont="1" applyBorder="1" applyAlignment="1">
      <alignment/>
    </xf>
    <xf numFmtId="0" fontId="30" fillId="0" borderId="16" xfId="0" applyFont="1" applyBorder="1" applyAlignment="1">
      <alignment/>
    </xf>
    <xf numFmtId="4" fontId="23" fillId="0" borderId="16" xfId="0" applyNumberFormat="1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64" fontId="4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165" fontId="4" fillId="0" borderId="12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165" fontId="4" fillId="0" borderId="12" xfId="0" applyNumberFormat="1" applyFont="1" applyFill="1" applyBorder="1" applyAlignment="1">
      <alignment/>
    </xf>
    <xf numFmtId="166" fontId="3" fillId="0" borderId="12" xfId="0" applyNumberFormat="1" applyFont="1" applyBorder="1" applyAlignment="1">
      <alignment/>
    </xf>
    <xf numFmtId="165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6" fontId="3" fillId="0" borderId="12" xfId="0" applyNumberFormat="1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20" fillId="33" borderId="12" xfId="0" applyFont="1" applyFill="1" applyBorder="1" applyAlignment="1">
      <alignment/>
    </xf>
    <xf numFmtId="4" fontId="20" fillId="0" borderId="12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/>
    </xf>
    <xf numFmtId="166" fontId="3" fillId="33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vertical="top" wrapText="1"/>
    </xf>
    <xf numFmtId="166" fontId="4" fillId="33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3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4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/>
    </xf>
    <xf numFmtId="0" fontId="32" fillId="0" borderId="12" xfId="0" applyFont="1" applyFill="1" applyBorder="1" applyAlignment="1">
      <alignment horizontal="justify"/>
    </xf>
    <xf numFmtId="0" fontId="32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wrapText="1"/>
    </xf>
    <xf numFmtId="0" fontId="32" fillId="0" borderId="16" xfId="0" applyFont="1" applyFill="1" applyBorder="1" applyAlignment="1">
      <alignment wrapText="1"/>
    </xf>
    <xf numFmtId="0" fontId="32" fillId="0" borderId="16" xfId="0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3" fillId="0" borderId="14" xfId="0" applyFont="1" applyFill="1" applyBorder="1" applyAlignment="1">
      <alignment horizontal="justify"/>
    </xf>
    <xf numFmtId="0" fontId="33" fillId="0" borderId="14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33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4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5" fillId="0" borderId="27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4" fontId="4" fillId="0" borderId="12" xfId="0" applyNumberFormat="1" applyFont="1" applyFill="1" applyBorder="1" applyAlignment="1">
      <alignment wrapText="1"/>
    </xf>
    <xf numFmtId="165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164" fontId="3" fillId="33" borderId="13" xfId="0" applyNumberFormat="1" applyFont="1" applyFill="1" applyBorder="1" applyAlignment="1">
      <alignment/>
    </xf>
    <xf numFmtId="166" fontId="3" fillId="33" borderId="13" xfId="0" applyNumberFormat="1" applyFont="1" applyFill="1" applyBorder="1" applyAlignment="1">
      <alignment/>
    </xf>
    <xf numFmtId="166" fontId="3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4" fontId="2" fillId="0" borderId="38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4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2" fillId="0" borderId="38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3" fontId="2" fillId="0" borderId="47" xfId="0" applyNumberFormat="1" applyFont="1" applyBorder="1" applyAlignment="1">
      <alignment/>
    </xf>
    <xf numFmtId="0" fontId="7" fillId="0" borderId="16" xfId="0" applyFont="1" applyBorder="1" applyAlignment="1">
      <alignment/>
    </xf>
    <xf numFmtId="165" fontId="7" fillId="0" borderId="19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 wrapText="1"/>
    </xf>
    <xf numFmtId="165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0" borderId="16" xfId="0" applyFont="1" applyBorder="1" applyAlignment="1">
      <alignment wrapText="1"/>
    </xf>
    <xf numFmtId="0" fontId="2" fillId="0" borderId="48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7" fillId="0" borderId="19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7" fillId="0" borderId="23" xfId="0" applyNumberFormat="1" applyFont="1" applyBorder="1" applyAlignment="1">
      <alignment/>
    </xf>
    <xf numFmtId="0" fontId="34" fillId="0" borderId="0" xfId="0" applyFont="1" applyAlignment="1">
      <alignment/>
    </xf>
    <xf numFmtId="0" fontId="1" fillId="0" borderId="0" xfId="0" applyFont="1" applyAlignment="1">
      <alignment/>
    </xf>
    <xf numFmtId="165" fontId="7" fillId="0" borderId="19" xfId="0" applyNumberFormat="1" applyFont="1" applyBorder="1" applyAlignment="1">
      <alignment/>
    </xf>
    <xf numFmtId="165" fontId="7" fillId="0" borderId="12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9" xfId="0" applyFont="1" applyFill="1" applyBorder="1" applyAlignment="1">
      <alignment wrapText="1"/>
    </xf>
    <xf numFmtId="4" fontId="2" fillId="0" borderId="0" xfId="0" applyNumberFormat="1" applyFont="1" applyAlignment="1">
      <alignment/>
    </xf>
    <xf numFmtId="0" fontId="35" fillId="0" borderId="13" xfId="0" applyFont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13" xfId="0" applyFont="1" applyFill="1" applyBorder="1" applyAlignment="1">
      <alignment wrapText="1"/>
    </xf>
    <xf numFmtId="4" fontId="36" fillId="0" borderId="13" xfId="0" applyNumberFormat="1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0" xfId="0" applyFont="1" applyFill="1" applyBorder="1" applyAlignment="1">
      <alignment wrapText="1"/>
    </xf>
    <xf numFmtId="4" fontId="7" fillId="0" borderId="30" xfId="0" applyNumberFormat="1" applyFont="1" applyBorder="1" applyAlignment="1">
      <alignment/>
    </xf>
    <xf numFmtId="0" fontId="0" fillId="0" borderId="33" xfId="0" applyBorder="1" applyAlignment="1">
      <alignment/>
    </xf>
    <xf numFmtId="0" fontId="7" fillId="0" borderId="33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50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33" xfId="0" applyFont="1" applyFill="1" applyBorder="1" applyAlignment="1">
      <alignment vertical="center" wrapText="1"/>
    </xf>
    <xf numFmtId="0" fontId="4" fillId="0" borderId="51" xfId="0" applyFont="1" applyBorder="1" applyAlignment="1">
      <alignment/>
    </xf>
    <xf numFmtId="0" fontId="4" fillId="0" borderId="52" xfId="0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2" fillId="0" borderId="53" xfId="0" applyNumberFormat="1" applyFont="1" applyBorder="1" applyAlignment="1">
      <alignment/>
    </xf>
    <xf numFmtId="4" fontId="7" fillId="0" borderId="54" xfId="0" applyNumberFormat="1" applyFont="1" applyBorder="1" applyAlignment="1">
      <alignment/>
    </xf>
    <xf numFmtId="4" fontId="7" fillId="0" borderId="55" xfId="0" applyNumberFormat="1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1" xfId="0" applyFont="1" applyBorder="1" applyAlignment="1">
      <alignment/>
    </xf>
    <xf numFmtId="4" fontId="36" fillId="0" borderId="54" xfId="0" applyNumberFormat="1" applyFont="1" applyBorder="1" applyAlignment="1">
      <alignment/>
    </xf>
    <xf numFmtId="0" fontId="2" fillId="0" borderId="24" xfId="0" applyFont="1" applyBorder="1" applyAlignment="1">
      <alignment/>
    </xf>
    <xf numFmtId="4" fontId="2" fillId="0" borderId="48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7" fillId="0" borderId="56" xfId="0" applyFont="1" applyBorder="1" applyAlignment="1">
      <alignment wrapText="1"/>
    </xf>
    <xf numFmtId="4" fontId="4" fillId="0" borderId="52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48" xfId="0" applyNumberFormat="1" applyFont="1" applyBorder="1" applyAlignment="1">
      <alignment/>
    </xf>
    <xf numFmtId="0" fontId="7" fillId="0" borderId="16" xfId="0" applyFont="1" applyBorder="1" applyAlignment="1">
      <alignment/>
    </xf>
    <xf numFmtId="165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4" fontId="3" fillId="0" borderId="19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 wrapText="1"/>
    </xf>
    <xf numFmtId="4" fontId="4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4" fillId="0" borderId="13" xfId="0" applyFont="1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19" xfId="0" applyFont="1" applyBorder="1" applyAlignment="1">
      <alignment/>
    </xf>
    <xf numFmtId="3" fontId="6" fillId="0" borderId="17" xfId="0" applyNumberFormat="1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/>
    </xf>
    <xf numFmtId="164" fontId="3" fillId="0" borderId="1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wrapText="1"/>
    </xf>
    <xf numFmtId="165" fontId="4" fillId="0" borderId="14" xfId="0" applyNumberFormat="1" applyFont="1" applyBorder="1" applyAlignment="1">
      <alignment horizontal="center"/>
    </xf>
    <xf numFmtId="164" fontId="3" fillId="0" borderId="13" xfId="0" applyNumberFormat="1" applyFont="1" applyFill="1" applyBorder="1" applyAlignment="1">
      <alignment/>
    </xf>
    <xf numFmtId="165" fontId="4" fillId="0" borderId="13" xfId="0" applyNumberFormat="1" applyFont="1" applyFill="1" applyBorder="1" applyAlignment="1">
      <alignment/>
    </xf>
    <xf numFmtId="166" fontId="4" fillId="0" borderId="19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4" fontId="4" fillId="0" borderId="37" xfId="0" applyNumberFormat="1" applyFont="1" applyFill="1" applyBorder="1" applyAlignment="1">
      <alignment horizontal="right" wrapText="1"/>
    </xf>
    <xf numFmtId="4" fontId="7" fillId="0" borderId="37" xfId="0" applyNumberFormat="1" applyFont="1" applyBorder="1" applyAlignment="1">
      <alignment horizontal="right" wrapText="1"/>
    </xf>
    <xf numFmtId="0" fontId="16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center"/>
    </xf>
    <xf numFmtId="4" fontId="6" fillId="0" borderId="16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/>
    </xf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/>
    </xf>
    <xf numFmtId="4" fontId="6" fillId="0" borderId="26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6" fillId="0" borderId="23" xfId="0" applyNumberFormat="1" applyFont="1" applyBorder="1" applyAlignment="1">
      <alignment/>
    </xf>
    <xf numFmtId="0" fontId="15" fillId="0" borderId="27" xfId="0" applyFont="1" applyBorder="1" applyAlignment="1">
      <alignment horizontal="center"/>
    </xf>
    <xf numFmtId="4" fontId="6" fillId="0" borderId="27" xfId="0" applyNumberFormat="1" applyFont="1" applyBorder="1" applyAlignment="1">
      <alignment/>
    </xf>
    <xf numFmtId="4" fontId="6" fillId="0" borderId="27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/>
    </xf>
    <xf numFmtId="0" fontId="15" fillId="0" borderId="26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4" fontId="6" fillId="0" borderId="21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15" fillId="0" borderId="12" xfId="0" applyFont="1" applyBorder="1" applyAlignment="1">
      <alignment horizontal="center" wrapText="1"/>
    </xf>
    <xf numFmtId="0" fontId="18" fillId="0" borderId="19" xfId="0" applyFont="1" applyBorder="1" applyAlignment="1">
      <alignment horizontal="center" vertical="center"/>
    </xf>
    <xf numFmtId="4" fontId="18" fillId="0" borderId="13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13" fillId="0" borderId="30" xfId="0" applyFont="1" applyBorder="1" applyAlignment="1">
      <alignment wrapText="1"/>
    </xf>
    <xf numFmtId="4" fontId="6" fillId="0" borderId="30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/>
    </xf>
    <xf numFmtId="4" fontId="6" fillId="0" borderId="35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center"/>
    </xf>
    <xf numFmtId="0" fontId="13" fillId="0" borderId="33" xfId="0" applyFont="1" applyBorder="1" applyAlignment="1">
      <alignment wrapText="1"/>
    </xf>
    <xf numFmtId="0" fontId="15" fillId="0" borderId="33" xfId="0" applyFont="1" applyBorder="1" applyAlignment="1">
      <alignment horizontal="center"/>
    </xf>
    <xf numFmtId="4" fontId="6" fillId="0" borderId="33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top" wrapText="1"/>
    </xf>
    <xf numFmtId="165" fontId="4" fillId="0" borderId="12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4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164" fontId="1" fillId="0" borderId="27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left" vertical="center" wrapText="1"/>
    </xf>
    <xf numFmtId="164" fontId="4" fillId="0" borderId="30" xfId="0" applyNumberFormat="1" applyFont="1" applyFill="1" applyBorder="1" applyAlignment="1">
      <alignment horizontal="left" vertical="center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166" fontId="3" fillId="0" borderId="3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57" xfId="0" applyFont="1" applyBorder="1" applyAlignment="1">
      <alignment horizontal="right"/>
    </xf>
    <xf numFmtId="164" fontId="3" fillId="0" borderId="58" xfId="0" applyNumberFormat="1" applyFont="1" applyBorder="1" applyAlignment="1">
      <alignment horizontal="center" vertical="center"/>
    </xf>
    <xf numFmtId="164" fontId="3" fillId="0" borderId="59" xfId="0" applyNumberFormat="1" applyFont="1" applyBorder="1" applyAlignment="1">
      <alignment horizontal="center" vertical="center"/>
    </xf>
    <xf numFmtId="164" fontId="3" fillId="0" borderId="60" xfId="0" applyNumberFormat="1" applyFont="1" applyBorder="1" applyAlignment="1">
      <alignment horizontal="center" vertical="center"/>
    </xf>
    <xf numFmtId="166" fontId="3" fillId="0" borderId="32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66" fontId="3" fillId="0" borderId="33" xfId="0" applyNumberFormat="1" applyFont="1" applyBorder="1" applyAlignment="1">
      <alignment horizontal="center" vertical="center"/>
    </xf>
    <xf numFmtId="166" fontId="3" fillId="0" borderId="32" xfId="0" applyNumberFormat="1" applyFont="1" applyFill="1" applyBorder="1" applyAlignment="1">
      <alignment horizontal="center" vertical="center"/>
    </xf>
    <xf numFmtId="166" fontId="3" fillId="0" borderId="33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164" fontId="3" fillId="0" borderId="41" xfId="0" applyNumberFormat="1" applyFont="1" applyBorder="1" applyAlignment="1">
      <alignment horizontal="left" vertical="center"/>
    </xf>
    <xf numFmtId="164" fontId="3" fillId="0" borderId="61" xfId="0" applyNumberFormat="1" applyFont="1" applyBorder="1" applyAlignment="1">
      <alignment horizontal="left" vertical="center"/>
    </xf>
    <xf numFmtId="164" fontId="3" fillId="0" borderId="62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left" vertical="center" wrapText="1"/>
    </xf>
    <xf numFmtId="164" fontId="4" fillId="0" borderId="33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27" xfId="0" applyFont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37" fillId="0" borderId="27" xfId="0" applyFont="1" applyFill="1" applyBorder="1" applyAlignment="1">
      <alignment horizontal="left" vertical="center"/>
    </xf>
    <xf numFmtId="166" fontId="3" fillId="0" borderId="16" xfId="0" applyNumberFormat="1" applyFont="1" applyFill="1" applyBorder="1" applyAlignment="1">
      <alignment horizontal="center" vertical="center"/>
    </xf>
    <xf numFmtId="166" fontId="3" fillId="0" borderId="19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49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2" fillId="0" borderId="4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2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6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6" fillId="0" borderId="3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1">
      <pane xSplit="4" ySplit="6" topLeftCell="E15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18" sqref="G118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5.25390625" style="0" customWidth="1"/>
    <col min="4" max="4" width="41.75390625" style="0" customWidth="1"/>
    <col min="5" max="5" width="12.125" style="0" customWidth="1"/>
    <col min="6" max="6" width="11.75390625" style="0" customWidth="1"/>
    <col min="7" max="7" width="14.125" style="0" customWidth="1"/>
    <col min="8" max="8" width="11.25390625" style="0" customWidth="1"/>
    <col min="9" max="9" width="20.375" style="0" customWidth="1"/>
  </cols>
  <sheetData>
    <row r="1" spans="1:4" ht="54" customHeight="1">
      <c r="A1" s="804" t="s">
        <v>562</v>
      </c>
      <c r="B1" s="804"/>
      <c r="C1" s="804"/>
      <c r="D1" s="804"/>
    </row>
    <row r="2" spans="1:4" ht="15.75" customHeight="1">
      <c r="A2" s="805" t="s">
        <v>55</v>
      </c>
      <c r="B2" s="805"/>
      <c r="C2" s="805"/>
      <c r="D2" s="805"/>
    </row>
    <row r="3" spans="1:9" ht="12.75">
      <c r="A3" s="806" t="s">
        <v>197</v>
      </c>
      <c r="B3" s="807" t="s">
        <v>58</v>
      </c>
      <c r="C3" s="808" t="s">
        <v>298</v>
      </c>
      <c r="D3" s="809" t="s">
        <v>57</v>
      </c>
      <c r="E3" s="802" t="s">
        <v>394</v>
      </c>
      <c r="F3" s="803" t="s">
        <v>93</v>
      </c>
      <c r="G3" s="803"/>
      <c r="H3" s="803"/>
      <c r="I3" s="803"/>
    </row>
    <row r="4" spans="1:9" ht="12.75">
      <c r="A4" s="806"/>
      <c r="B4" s="807"/>
      <c r="C4" s="808"/>
      <c r="D4" s="809"/>
      <c r="E4" s="802"/>
      <c r="F4" s="802" t="s">
        <v>198</v>
      </c>
      <c r="G4" s="397" t="s">
        <v>93</v>
      </c>
      <c r="H4" s="802" t="s">
        <v>94</v>
      </c>
      <c r="I4" s="398" t="s">
        <v>199</v>
      </c>
    </row>
    <row r="5" spans="1:9" ht="56.25">
      <c r="A5" s="806"/>
      <c r="B5" s="807"/>
      <c r="C5" s="808"/>
      <c r="D5" s="809"/>
      <c r="E5" s="802"/>
      <c r="F5" s="802"/>
      <c r="G5" s="397" t="s">
        <v>200</v>
      </c>
      <c r="H5" s="802"/>
      <c r="I5" s="397" t="s">
        <v>201</v>
      </c>
    </row>
    <row r="6" spans="1:9" ht="13.5" thickBot="1">
      <c r="A6" s="399">
        <v>1</v>
      </c>
      <c r="B6" s="400">
        <v>2</v>
      </c>
      <c r="C6" s="401">
        <v>3</v>
      </c>
      <c r="D6" s="251">
        <v>4</v>
      </c>
      <c r="E6" s="402">
        <v>5</v>
      </c>
      <c r="F6" s="402">
        <v>6</v>
      </c>
      <c r="G6" s="403">
        <v>7</v>
      </c>
      <c r="H6" s="404">
        <v>8</v>
      </c>
      <c r="I6" s="404">
        <v>9</v>
      </c>
    </row>
    <row r="7" spans="1:9" ht="13.5" thickBot="1">
      <c r="A7" s="409">
        <v>10</v>
      </c>
      <c r="B7" s="410"/>
      <c r="C7" s="411"/>
      <c r="D7" s="412" t="s">
        <v>160</v>
      </c>
      <c r="E7" s="118">
        <f aca="true" t="shared" si="0" ref="E7:E55">SUM(F7+H7)</f>
        <v>5000</v>
      </c>
      <c r="F7" s="16">
        <f>SUM(F8)</f>
        <v>5000</v>
      </c>
      <c r="G7" s="16">
        <f>SUM(G8)</f>
        <v>0</v>
      </c>
      <c r="H7" s="16">
        <f>SUM(H8)</f>
        <v>0</v>
      </c>
      <c r="I7" s="464"/>
    </row>
    <row r="8" spans="1:9" ht="12.75">
      <c r="A8" s="405"/>
      <c r="B8" s="406">
        <v>1095</v>
      </c>
      <c r="C8" s="407"/>
      <c r="D8" s="408" t="s">
        <v>90</v>
      </c>
      <c r="E8" s="465">
        <f t="shared" si="0"/>
        <v>5000</v>
      </c>
      <c r="F8" s="54">
        <f>SUM(F9:F9)</f>
        <v>5000</v>
      </c>
      <c r="G8" s="54">
        <f>SUM(G9:G9)</f>
        <v>0</v>
      </c>
      <c r="H8" s="54">
        <f>SUM(H9:H9)</f>
        <v>0</v>
      </c>
      <c r="I8" s="465"/>
    </row>
    <row r="9" spans="1:9" ht="13.5" thickBot="1">
      <c r="A9" s="356"/>
      <c r="B9" s="357"/>
      <c r="C9" s="358">
        <v>960</v>
      </c>
      <c r="D9" s="4" t="s">
        <v>352</v>
      </c>
      <c r="E9" s="21">
        <f t="shared" si="0"/>
        <v>5000</v>
      </c>
      <c r="F9" s="44">
        <v>5000</v>
      </c>
      <c r="G9" s="44"/>
      <c r="H9" s="21"/>
      <c r="I9" s="21"/>
    </row>
    <row r="10" spans="1:9" ht="13.5" thickBot="1">
      <c r="A10" s="373">
        <v>600</v>
      </c>
      <c r="B10" s="359"/>
      <c r="C10" s="360"/>
      <c r="D10" s="30" t="s">
        <v>96</v>
      </c>
      <c r="E10" s="118">
        <f t="shared" si="0"/>
        <v>2195406.16</v>
      </c>
      <c r="F10" s="118">
        <f>SUM(F11)</f>
        <v>0</v>
      </c>
      <c r="G10" s="118"/>
      <c r="H10" s="118">
        <f>SUM(H11)</f>
        <v>2195406.16</v>
      </c>
      <c r="I10" s="342">
        <v>2195406.16</v>
      </c>
    </row>
    <row r="11" spans="1:9" ht="12.75">
      <c r="A11" s="415"/>
      <c r="B11" s="361">
        <v>60016</v>
      </c>
      <c r="C11" s="416"/>
      <c r="D11" s="8" t="s">
        <v>119</v>
      </c>
      <c r="E11" s="465">
        <f t="shared" si="0"/>
        <v>2195406.16</v>
      </c>
      <c r="F11" s="465">
        <f>SUM(F12:F12)</f>
        <v>0</v>
      </c>
      <c r="G11" s="466"/>
      <c r="H11" s="465">
        <f>SUM(H12:H12)</f>
        <v>2195406.16</v>
      </c>
      <c r="I11" s="465">
        <v>2195406.16</v>
      </c>
    </row>
    <row r="12" spans="1:9" ht="45.75" thickBot="1">
      <c r="A12" s="362"/>
      <c r="B12" s="363"/>
      <c r="C12" s="358">
        <v>6207</v>
      </c>
      <c r="D12" s="18" t="s">
        <v>354</v>
      </c>
      <c r="E12" s="21">
        <f t="shared" si="0"/>
        <v>2195406.16</v>
      </c>
      <c r="F12" s="25"/>
      <c r="G12" s="25"/>
      <c r="H12" s="21">
        <v>2195406.16</v>
      </c>
      <c r="I12" s="21">
        <v>2195406.16</v>
      </c>
    </row>
    <row r="13" spans="1:9" ht="13.5" thickBot="1">
      <c r="A13" s="373">
        <v>700</v>
      </c>
      <c r="B13" s="359"/>
      <c r="C13" s="360"/>
      <c r="D13" s="32" t="s">
        <v>91</v>
      </c>
      <c r="E13" s="118">
        <f t="shared" si="0"/>
        <v>5587600</v>
      </c>
      <c r="F13" s="118">
        <f>SUM(F14)</f>
        <v>1087600</v>
      </c>
      <c r="G13" s="118">
        <f>SUM(G14)</f>
        <v>0</v>
      </c>
      <c r="H13" s="118">
        <f>SUM(H14)</f>
        <v>4500000</v>
      </c>
      <c r="I13" s="464"/>
    </row>
    <row r="14" spans="1:9" ht="12.75">
      <c r="A14" s="364"/>
      <c r="B14" s="361">
        <v>70005</v>
      </c>
      <c r="C14" s="416"/>
      <c r="D14" s="327" t="s">
        <v>121</v>
      </c>
      <c r="E14" s="465">
        <f t="shared" si="0"/>
        <v>5587600</v>
      </c>
      <c r="F14" s="465">
        <f>SUM(F15:F22)</f>
        <v>1087600</v>
      </c>
      <c r="G14" s="465"/>
      <c r="H14" s="465">
        <f>SUM(H15:H22)</f>
        <v>4500000</v>
      </c>
      <c r="I14" s="240"/>
    </row>
    <row r="15" spans="1:10" ht="22.5">
      <c r="A15" s="364"/>
      <c r="B15" s="361"/>
      <c r="C15" s="358">
        <v>470</v>
      </c>
      <c r="D15" s="18" t="s">
        <v>355</v>
      </c>
      <c r="E15" s="21">
        <f t="shared" si="0"/>
        <v>277300</v>
      </c>
      <c r="F15" s="263">
        <v>277300</v>
      </c>
      <c r="G15" s="263">
        <v>0</v>
      </c>
      <c r="H15" s="21">
        <v>0</v>
      </c>
      <c r="I15" s="21"/>
      <c r="J15" t="s">
        <v>60</v>
      </c>
    </row>
    <row r="16" spans="1:9" ht="33.75">
      <c r="A16" s="364"/>
      <c r="B16" s="361"/>
      <c r="C16" s="358">
        <v>490</v>
      </c>
      <c r="D16" s="18" t="s">
        <v>356</v>
      </c>
      <c r="E16" s="21">
        <f t="shared" si="0"/>
        <v>20000</v>
      </c>
      <c r="F16" s="28">
        <v>20000</v>
      </c>
      <c r="G16" s="28">
        <v>0</v>
      </c>
      <c r="H16" s="21">
        <v>0</v>
      </c>
      <c r="I16" s="21"/>
    </row>
    <row r="17" spans="1:9" ht="12.75">
      <c r="A17" s="364"/>
      <c r="B17" s="361"/>
      <c r="C17" s="358">
        <v>690</v>
      </c>
      <c r="D17" s="18" t="s">
        <v>357</v>
      </c>
      <c r="E17" s="21">
        <f t="shared" si="0"/>
        <v>16000</v>
      </c>
      <c r="F17" s="21">
        <v>16000</v>
      </c>
      <c r="G17" s="21">
        <v>0</v>
      </c>
      <c r="H17" s="21">
        <v>0</v>
      </c>
      <c r="I17" s="21"/>
    </row>
    <row r="18" spans="1:9" ht="45">
      <c r="A18" s="365"/>
      <c r="B18" s="366"/>
      <c r="C18" s="358">
        <v>750</v>
      </c>
      <c r="D18" s="18" t="s">
        <v>358</v>
      </c>
      <c r="E18" s="21">
        <f t="shared" si="0"/>
        <v>669300</v>
      </c>
      <c r="F18" s="21">
        <v>669300</v>
      </c>
      <c r="G18" s="21">
        <v>0</v>
      </c>
      <c r="H18" s="21">
        <v>0</v>
      </c>
      <c r="I18" s="21" t="s">
        <v>60</v>
      </c>
    </row>
    <row r="19" spans="1:9" ht="33.75">
      <c r="A19" s="365"/>
      <c r="B19" s="366"/>
      <c r="C19" s="358">
        <v>760</v>
      </c>
      <c r="D19" s="18" t="s">
        <v>359</v>
      </c>
      <c r="E19" s="21">
        <f t="shared" si="0"/>
        <v>20000</v>
      </c>
      <c r="F19" s="263">
        <v>0</v>
      </c>
      <c r="G19" s="263">
        <v>0</v>
      </c>
      <c r="H19" s="21">
        <v>20000</v>
      </c>
      <c r="I19" s="21"/>
    </row>
    <row r="20" spans="1:9" ht="12.75">
      <c r="A20" s="365"/>
      <c r="B20" s="366"/>
      <c r="C20" s="358">
        <v>830</v>
      </c>
      <c r="D20" s="18" t="s">
        <v>360</v>
      </c>
      <c r="E20" s="21">
        <f t="shared" si="0"/>
        <v>30000</v>
      </c>
      <c r="F20" s="21">
        <v>30000</v>
      </c>
      <c r="G20" s="21">
        <v>0</v>
      </c>
      <c r="H20" s="21">
        <v>0</v>
      </c>
      <c r="I20" s="21"/>
    </row>
    <row r="21" spans="1:9" ht="12.75">
      <c r="A21" s="365"/>
      <c r="B21" s="366"/>
      <c r="C21" s="358">
        <v>870</v>
      </c>
      <c r="D21" s="18" t="s">
        <v>361</v>
      </c>
      <c r="E21" s="21">
        <f t="shared" si="0"/>
        <v>4480000</v>
      </c>
      <c r="F21" s="28">
        <v>0</v>
      </c>
      <c r="G21" s="28">
        <v>0</v>
      </c>
      <c r="H21" s="21">
        <f>775000+205000+3500000</f>
        <v>4480000</v>
      </c>
      <c r="I21" s="21"/>
    </row>
    <row r="22" spans="1:9" ht="13.5" thickBot="1">
      <c r="A22" s="365"/>
      <c r="B22" s="366"/>
      <c r="C22" s="358">
        <v>970</v>
      </c>
      <c r="D22" s="4" t="s">
        <v>363</v>
      </c>
      <c r="E22" s="21">
        <f t="shared" si="0"/>
        <v>75000</v>
      </c>
      <c r="F22" s="21">
        <v>75000</v>
      </c>
      <c r="G22" s="21">
        <v>0</v>
      </c>
      <c r="H22" s="21">
        <v>0</v>
      </c>
      <c r="I22" s="21"/>
    </row>
    <row r="23" spans="1:9" ht="13.5" thickBot="1">
      <c r="A23" s="373">
        <v>750</v>
      </c>
      <c r="B23" s="359"/>
      <c r="C23" s="360"/>
      <c r="D23" s="30" t="s">
        <v>95</v>
      </c>
      <c r="E23" s="118">
        <f t="shared" si="0"/>
        <v>279181</v>
      </c>
      <c r="F23" s="121">
        <f>SUM(+F27+F24)</f>
        <v>279181</v>
      </c>
      <c r="G23" s="121">
        <f>SUM(+G27+G24)</f>
        <v>215356</v>
      </c>
      <c r="H23" s="468"/>
      <c r="I23" s="464"/>
    </row>
    <row r="24" spans="1:9" ht="12.75">
      <c r="A24" s="415"/>
      <c r="B24" s="361">
        <v>75011</v>
      </c>
      <c r="C24" s="416"/>
      <c r="D24" s="8" t="s">
        <v>202</v>
      </c>
      <c r="E24" s="465">
        <f t="shared" si="0"/>
        <v>215381</v>
      </c>
      <c r="F24" s="469">
        <f>SUM(F25:F26)</f>
        <v>215381</v>
      </c>
      <c r="G24" s="469">
        <f>SUM(G25:G26)</f>
        <v>215356</v>
      </c>
      <c r="H24" s="465"/>
      <c r="I24" s="240"/>
    </row>
    <row r="25" spans="1:9" ht="45">
      <c r="A25" s="369"/>
      <c r="B25" s="363"/>
      <c r="C25" s="358">
        <v>2010</v>
      </c>
      <c r="D25" s="18" t="s">
        <v>353</v>
      </c>
      <c r="E25" s="21">
        <f t="shared" si="0"/>
        <v>215356</v>
      </c>
      <c r="F25" s="28">
        <v>215356</v>
      </c>
      <c r="G25" s="241">
        <v>215356</v>
      </c>
      <c r="H25" s="21"/>
      <c r="I25" s="21"/>
    </row>
    <row r="26" spans="1:9" ht="33.75">
      <c r="A26" s="369"/>
      <c r="B26" s="363"/>
      <c r="C26" s="358">
        <v>2360</v>
      </c>
      <c r="D26" s="18" t="s">
        <v>364</v>
      </c>
      <c r="E26" s="21">
        <f t="shared" si="0"/>
        <v>25</v>
      </c>
      <c r="F26" s="21">
        <v>25</v>
      </c>
      <c r="G26" s="21">
        <v>0</v>
      </c>
      <c r="H26" s="21"/>
      <c r="I26" s="21"/>
    </row>
    <row r="27" spans="1:9" ht="12.75">
      <c r="A27" s="365"/>
      <c r="B27" s="363">
        <v>75023</v>
      </c>
      <c r="C27" s="370"/>
      <c r="D27" s="7" t="s">
        <v>97</v>
      </c>
      <c r="E27" s="26">
        <f t="shared" si="0"/>
        <v>63800</v>
      </c>
      <c r="F27" s="26">
        <f>SUM(F28:F29)</f>
        <v>63800</v>
      </c>
      <c r="G27" s="26">
        <f>SUM(G29:G29)</f>
        <v>0</v>
      </c>
      <c r="H27" s="21"/>
      <c r="I27" s="21"/>
    </row>
    <row r="28" spans="1:9" ht="22.5">
      <c r="A28" s="365"/>
      <c r="B28" s="389"/>
      <c r="C28" s="745">
        <v>580</v>
      </c>
      <c r="D28" s="326" t="s">
        <v>365</v>
      </c>
      <c r="E28" s="21">
        <f t="shared" si="0"/>
        <v>15000</v>
      </c>
      <c r="F28" s="263">
        <v>15000</v>
      </c>
      <c r="G28" s="263"/>
      <c r="H28" s="263"/>
      <c r="I28" s="263"/>
    </row>
    <row r="29" spans="1:9" ht="13.5" thickBot="1">
      <c r="A29" s="365"/>
      <c r="B29" s="371"/>
      <c r="C29" s="372">
        <v>830</v>
      </c>
      <c r="D29" s="326" t="s">
        <v>360</v>
      </c>
      <c r="E29" s="21">
        <f t="shared" si="0"/>
        <v>48800</v>
      </c>
      <c r="F29" s="28">
        <v>48800</v>
      </c>
      <c r="G29" s="25"/>
      <c r="H29" s="21"/>
      <c r="I29" s="21"/>
    </row>
    <row r="30" spans="1:9" ht="34.5" thickBot="1">
      <c r="A30" s="373">
        <v>751</v>
      </c>
      <c r="B30" s="359"/>
      <c r="C30" s="360"/>
      <c r="D30" s="32" t="s">
        <v>203</v>
      </c>
      <c r="E30" s="118">
        <f t="shared" si="0"/>
        <v>5940</v>
      </c>
      <c r="F30" s="118">
        <f>SUM(F31)</f>
        <v>5940</v>
      </c>
      <c r="G30" s="118">
        <f>SUM(G31)</f>
        <v>5940</v>
      </c>
      <c r="H30" s="118"/>
      <c r="I30" s="464"/>
    </row>
    <row r="31" spans="1:9" ht="22.5">
      <c r="A31" s="364"/>
      <c r="B31" s="361">
        <v>75101</v>
      </c>
      <c r="C31" s="416"/>
      <c r="D31" s="327" t="s">
        <v>204</v>
      </c>
      <c r="E31" s="465">
        <f t="shared" si="0"/>
        <v>5940</v>
      </c>
      <c r="F31" s="465">
        <f>SUM(F32)</f>
        <v>5940</v>
      </c>
      <c r="G31" s="465">
        <f>SUM(G32)</f>
        <v>5940</v>
      </c>
      <c r="H31" s="465"/>
      <c r="I31" s="240"/>
    </row>
    <row r="32" spans="1:9" ht="45.75" thickBot="1">
      <c r="A32" s="374"/>
      <c r="B32" s="366"/>
      <c r="C32" s="358">
        <v>2010</v>
      </c>
      <c r="D32" s="18" t="s">
        <v>353</v>
      </c>
      <c r="E32" s="21">
        <f t="shared" si="0"/>
        <v>5940</v>
      </c>
      <c r="F32" s="263">
        <v>5940</v>
      </c>
      <c r="G32" s="263">
        <v>5940</v>
      </c>
      <c r="H32" s="21"/>
      <c r="I32" s="21"/>
    </row>
    <row r="33" spans="1:9" ht="23.25" thickBot="1">
      <c r="A33" s="373">
        <v>754</v>
      </c>
      <c r="B33" s="359"/>
      <c r="C33" s="360"/>
      <c r="D33" s="32" t="s">
        <v>205</v>
      </c>
      <c r="E33" s="118">
        <f t="shared" si="0"/>
        <v>8100</v>
      </c>
      <c r="F33" s="118">
        <f>SUM(F34+F36)</f>
        <v>8100</v>
      </c>
      <c r="G33" s="118">
        <f>SUM(G34+G36)</f>
        <v>3100</v>
      </c>
      <c r="H33" s="118">
        <v>0</v>
      </c>
      <c r="I33" s="464">
        <v>0</v>
      </c>
    </row>
    <row r="34" spans="1:9" ht="12.75">
      <c r="A34" s="364"/>
      <c r="B34" s="361">
        <v>75414</v>
      </c>
      <c r="C34" s="416"/>
      <c r="D34" s="8" t="s">
        <v>168</v>
      </c>
      <c r="E34" s="465">
        <f t="shared" si="0"/>
        <v>3100</v>
      </c>
      <c r="F34" s="465">
        <f>SUM(F35)</f>
        <v>3100</v>
      </c>
      <c r="G34" s="465">
        <f>SUM(G35)</f>
        <v>3100</v>
      </c>
      <c r="H34" s="465"/>
      <c r="I34" s="240"/>
    </row>
    <row r="35" spans="1:9" ht="45">
      <c r="A35" s="365"/>
      <c r="B35" s="366"/>
      <c r="C35" s="358">
        <v>2010</v>
      </c>
      <c r="D35" s="18" t="s">
        <v>353</v>
      </c>
      <c r="E35" s="21">
        <f t="shared" si="0"/>
        <v>3100</v>
      </c>
      <c r="F35" s="263">
        <v>3100</v>
      </c>
      <c r="G35" s="21">
        <v>3100</v>
      </c>
      <c r="H35" s="21"/>
      <c r="I35" s="21"/>
    </row>
    <row r="36" spans="1:9" ht="12.75">
      <c r="A36" s="365"/>
      <c r="B36" s="363">
        <v>75416</v>
      </c>
      <c r="C36" s="370"/>
      <c r="D36" s="328" t="s">
        <v>169</v>
      </c>
      <c r="E36" s="26">
        <f t="shared" si="0"/>
        <v>5000</v>
      </c>
      <c r="F36" s="25">
        <f>SUM(F37)</f>
        <v>5000</v>
      </c>
      <c r="G36" s="25"/>
      <c r="H36" s="21"/>
      <c r="I36" s="21"/>
    </row>
    <row r="37" spans="1:9" ht="13.5" thickBot="1">
      <c r="A37" s="365"/>
      <c r="B37" s="366"/>
      <c r="C37" s="358">
        <v>570</v>
      </c>
      <c r="D37" s="18" t="s">
        <v>366</v>
      </c>
      <c r="E37" s="21">
        <f t="shared" si="0"/>
        <v>5000</v>
      </c>
      <c r="F37" s="21">
        <v>5000</v>
      </c>
      <c r="G37" s="21"/>
      <c r="H37" s="21"/>
      <c r="I37" s="21"/>
    </row>
    <row r="38" spans="1:9" ht="45.75" thickBot="1">
      <c r="A38" s="373">
        <v>756</v>
      </c>
      <c r="B38" s="359"/>
      <c r="C38" s="360"/>
      <c r="D38" s="32" t="s">
        <v>147</v>
      </c>
      <c r="E38" s="118">
        <f t="shared" si="0"/>
        <v>33456475</v>
      </c>
      <c r="F38" s="118">
        <f>SUM(F39+F41+F48+F58+F63+F66)</f>
        <v>33456475</v>
      </c>
      <c r="G38" s="118"/>
      <c r="H38" s="118">
        <f>SUM(H39+H41+H48+H58+H63+H66)</f>
        <v>0</v>
      </c>
      <c r="I38" s="342"/>
    </row>
    <row r="39" spans="1:9" ht="22.5">
      <c r="A39" s="364"/>
      <c r="B39" s="361">
        <v>75601</v>
      </c>
      <c r="C39" s="416"/>
      <c r="D39" s="327" t="s">
        <v>206</v>
      </c>
      <c r="E39" s="465">
        <f t="shared" si="0"/>
        <v>40000</v>
      </c>
      <c r="F39" s="465">
        <f>SUM(F40:F40)</f>
        <v>40000</v>
      </c>
      <c r="G39" s="465"/>
      <c r="H39" s="465"/>
      <c r="I39" s="465"/>
    </row>
    <row r="40" spans="1:9" ht="22.5">
      <c r="A40" s="364"/>
      <c r="B40" s="361"/>
      <c r="C40" s="358">
        <v>350</v>
      </c>
      <c r="D40" s="18" t="s">
        <v>368</v>
      </c>
      <c r="E40" s="21">
        <f t="shared" si="0"/>
        <v>40000</v>
      </c>
      <c r="F40" s="28">
        <v>40000</v>
      </c>
      <c r="G40" s="25"/>
      <c r="H40" s="21"/>
      <c r="I40" s="21"/>
    </row>
    <row r="41" spans="1:9" ht="45">
      <c r="A41" s="365"/>
      <c r="B41" s="363">
        <v>75615</v>
      </c>
      <c r="C41" s="370"/>
      <c r="D41" s="328" t="s">
        <v>207</v>
      </c>
      <c r="E41" s="26">
        <f t="shared" si="0"/>
        <v>10477058</v>
      </c>
      <c r="F41" s="26">
        <f>SUM(F42:F47)</f>
        <v>10477058</v>
      </c>
      <c r="G41" s="470"/>
      <c r="H41" s="21"/>
      <c r="I41" s="21"/>
    </row>
    <row r="42" spans="1:9" ht="12.75">
      <c r="A42" s="365"/>
      <c r="B42" s="366"/>
      <c r="C42" s="358">
        <v>310</v>
      </c>
      <c r="D42" s="18" t="s">
        <v>369</v>
      </c>
      <c r="E42" s="21">
        <f t="shared" si="0"/>
        <v>9749748</v>
      </c>
      <c r="F42" s="21">
        <f>8719000+1030748</f>
        <v>9749748</v>
      </c>
      <c r="G42" s="21"/>
      <c r="H42" s="21"/>
      <c r="I42" s="21"/>
    </row>
    <row r="43" spans="1:9" ht="12.75">
      <c r="A43" s="365"/>
      <c r="B43" s="366"/>
      <c r="C43" s="358">
        <v>320</v>
      </c>
      <c r="D43" s="18" t="s">
        <v>370</v>
      </c>
      <c r="E43" s="21">
        <f t="shared" si="0"/>
        <v>5340</v>
      </c>
      <c r="F43" s="263">
        <v>5340</v>
      </c>
      <c r="G43" s="21"/>
      <c r="H43" s="21"/>
      <c r="I43" s="21"/>
    </row>
    <row r="44" spans="1:9" ht="12.75">
      <c r="A44" s="365"/>
      <c r="B44" s="366"/>
      <c r="C44" s="358">
        <v>330</v>
      </c>
      <c r="D44" s="18" t="s">
        <v>371</v>
      </c>
      <c r="E44" s="21">
        <f t="shared" si="0"/>
        <v>36820</v>
      </c>
      <c r="F44" s="21">
        <v>36820</v>
      </c>
      <c r="G44" s="21"/>
      <c r="H44" s="21"/>
      <c r="I44" s="21"/>
    </row>
    <row r="45" spans="1:9" ht="12.75">
      <c r="A45" s="365"/>
      <c r="B45" s="366"/>
      <c r="C45" s="358">
        <v>340</v>
      </c>
      <c r="D45" s="18" t="s">
        <v>372</v>
      </c>
      <c r="E45" s="21">
        <f t="shared" si="0"/>
        <v>184650</v>
      </c>
      <c r="F45" s="263">
        <v>184650</v>
      </c>
      <c r="G45" s="21"/>
      <c r="H45" s="21"/>
      <c r="I45" s="21"/>
    </row>
    <row r="46" spans="1:9" ht="12.75">
      <c r="A46" s="365"/>
      <c r="B46" s="366"/>
      <c r="C46" s="358">
        <v>500</v>
      </c>
      <c r="D46" s="18" t="s">
        <v>373</v>
      </c>
      <c r="E46" s="21">
        <f t="shared" si="0"/>
        <v>500000</v>
      </c>
      <c r="F46" s="21">
        <v>500000</v>
      </c>
      <c r="G46" s="21"/>
      <c r="H46" s="21"/>
      <c r="I46" s="21"/>
    </row>
    <row r="47" spans="1:9" ht="14.25" customHeight="1">
      <c r="A47" s="365"/>
      <c r="B47" s="366"/>
      <c r="C47" s="358">
        <v>910</v>
      </c>
      <c r="D47" s="18" t="s">
        <v>362</v>
      </c>
      <c r="E47" s="21">
        <f t="shared" si="0"/>
        <v>500</v>
      </c>
      <c r="F47" s="21">
        <v>500</v>
      </c>
      <c r="G47" s="21"/>
      <c r="H47" s="21"/>
      <c r="I47" s="21"/>
    </row>
    <row r="48" spans="1:9" ht="45">
      <c r="A48" s="365"/>
      <c r="B48" s="363">
        <v>75616</v>
      </c>
      <c r="C48" s="358"/>
      <c r="D48" s="328" t="s">
        <v>208</v>
      </c>
      <c r="E48" s="26">
        <f t="shared" si="0"/>
        <v>4852664</v>
      </c>
      <c r="F48" s="26">
        <f>SUM(F49:F57)</f>
        <v>4852664</v>
      </c>
      <c r="G48" s="470"/>
      <c r="H48" s="21"/>
      <c r="I48" s="21"/>
    </row>
    <row r="49" spans="1:9" ht="12.75">
      <c r="A49" s="365"/>
      <c r="B49" s="363"/>
      <c r="C49" s="358">
        <v>310</v>
      </c>
      <c r="D49" s="18" t="s">
        <v>369</v>
      </c>
      <c r="E49" s="21">
        <f t="shared" si="0"/>
        <v>2591770</v>
      </c>
      <c r="F49" s="21">
        <v>2591770</v>
      </c>
      <c r="G49" s="21"/>
      <c r="H49" s="21"/>
      <c r="I49" s="21"/>
    </row>
    <row r="50" spans="1:9" ht="12.75">
      <c r="A50" s="365"/>
      <c r="B50" s="363"/>
      <c r="C50" s="358">
        <v>320</v>
      </c>
      <c r="D50" s="18" t="s">
        <v>370</v>
      </c>
      <c r="E50" s="21">
        <f t="shared" si="0"/>
        <v>528130</v>
      </c>
      <c r="F50" s="263">
        <v>528130</v>
      </c>
      <c r="G50" s="471"/>
      <c r="H50" s="21"/>
      <c r="I50" s="21"/>
    </row>
    <row r="51" spans="1:9" ht="12.75">
      <c r="A51" s="365"/>
      <c r="B51" s="363"/>
      <c r="C51" s="358">
        <v>330</v>
      </c>
      <c r="D51" s="18" t="s">
        <v>371</v>
      </c>
      <c r="E51" s="21">
        <f t="shared" si="0"/>
        <v>56640</v>
      </c>
      <c r="F51" s="28">
        <v>56640</v>
      </c>
      <c r="G51" s="25"/>
      <c r="H51" s="21">
        <v>0</v>
      </c>
      <c r="I51" s="21"/>
    </row>
    <row r="52" spans="1:9" ht="12.75">
      <c r="A52" s="365"/>
      <c r="B52" s="363"/>
      <c r="C52" s="358">
        <v>340</v>
      </c>
      <c r="D52" s="18" t="s">
        <v>372</v>
      </c>
      <c r="E52" s="21">
        <f t="shared" si="0"/>
        <v>800124</v>
      </c>
      <c r="F52" s="21">
        <v>800124</v>
      </c>
      <c r="G52" s="21"/>
      <c r="H52" s="21"/>
      <c r="I52" s="21"/>
    </row>
    <row r="53" spans="1:9" ht="12.75">
      <c r="A53" s="365"/>
      <c r="B53" s="363"/>
      <c r="C53" s="358">
        <v>360</v>
      </c>
      <c r="D53" s="18" t="s">
        <v>374</v>
      </c>
      <c r="E53" s="21">
        <f t="shared" si="0"/>
        <v>100000</v>
      </c>
      <c r="F53" s="28">
        <v>100000</v>
      </c>
      <c r="G53" s="25"/>
      <c r="H53" s="21"/>
      <c r="I53" s="21"/>
    </row>
    <row r="54" spans="1:9" ht="12.75">
      <c r="A54" s="365"/>
      <c r="B54" s="363"/>
      <c r="C54" s="358">
        <v>370</v>
      </c>
      <c r="D54" s="18" t="s">
        <v>375</v>
      </c>
      <c r="E54" s="21">
        <f t="shared" si="0"/>
        <v>1000</v>
      </c>
      <c r="F54" s="241">
        <v>1000</v>
      </c>
      <c r="G54" s="241"/>
      <c r="H54" s="21"/>
      <c r="I54" s="21"/>
    </row>
    <row r="55" spans="1:9" ht="12.75">
      <c r="A55" s="365"/>
      <c r="B55" s="363"/>
      <c r="C55" s="358">
        <v>430</v>
      </c>
      <c r="D55" s="18" t="s">
        <v>376</v>
      </c>
      <c r="E55" s="21">
        <f t="shared" si="0"/>
        <v>250000</v>
      </c>
      <c r="F55" s="28">
        <v>250000</v>
      </c>
      <c r="G55" s="241"/>
      <c r="H55" s="21"/>
      <c r="I55" s="21"/>
    </row>
    <row r="56" spans="1:9" ht="12.75">
      <c r="A56" s="365"/>
      <c r="B56" s="363"/>
      <c r="C56" s="358">
        <v>500</v>
      </c>
      <c r="D56" s="18" t="s">
        <v>373</v>
      </c>
      <c r="E56" s="21">
        <f aca="true" t="shared" si="1" ref="E56:E111">SUM(F56+H56)</f>
        <v>500000</v>
      </c>
      <c r="F56" s="241">
        <v>500000</v>
      </c>
      <c r="G56" s="241"/>
      <c r="H56" s="21"/>
      <c r="I56" s="21"/>
    </row>
    <row r="57" spans="1:9" ht="22.5">
      <c r="A57" s="365"/>
      <c r="B57" s="363"/>
      <c r="C57" s="358">
        <v>910</v>
      </c>
      <c r="D57" s="18" t="s">
        <v>377</v>
      </c>
      <c r="E57" s="21">
        <f t="shared" si="1"/>
        <v>25000</v>
      </c>
      <c r="F57" s="28">
        <v>25000</v>
      </c>
      <c r="G57" s="472"/>
      <c r="H57" s="21"/>
      <c r="I57" s="21"/>
    </row>
    <row r="58" spans="1:9" ht="33.75">
      <c r="A58" s="365"/>
      <c r="B58" s="363">
        <v>75618</v>
      </c>
      <c r="C58" s="370"/>
      <c r="D58" s="328" t="s">
        <v>148</v>
      </c>
      <c r="E58" s="26">
        <f t="shared" si="1"/>
        <v>710000</v>
      </c>
      <c r="F58" s="26">
        <f>SUM(F59:F62)</f>
        <v>710000</v>
      </c>
      <c r="G58" s="21" t="s">
        <v>60</v>
      </c>
      <c r="H58" s="21"/>
      <c r="I58" s="21"/>
    </row>
    <row r="59" spans="1:9" ht="12.75">
      <c r="A59" s="365"/>
      <c r="B59" s="366"/>
      <c r="C59" s="358">
        <v>410</v>
      </c>
      <c r="D59" s="4" t="s">
        <v>378</v>
      </c>
      <c r="E59" s="21">
        <f t="shared" si="1"/>
        <v>510000</v>
      </c>
      <c r="F59" s="21">
        <v>510000</v>
      </c>
      <c r="G59" s="21"/>
      <c r="H59" s="21"/>
      <c r="I59" s="21"/>
    </row>
    <row r="60" spans="1:9" ht="12.75">
      <c r="A60" s="365"/>
      <c r="B60" s="366"/>
      <c r="C60" s="358">
        <v>460</v>
      </c>
      <c r="D60" s="4" t="s">
        <v>379</v>
      </c>
      <c r="E60" s="21">
        <f t="shared" si="1"/>
        <v>50000</v>
      </c>
      <c r="F60" s="21">
        <v>50000</v>
      </c>
      <c r="G60" s="21"/>
      <c r="H60" s="21"/>
      <c r="I60" s="21"/>
    </row>
    <row r="61" spans="1:9" ht="33.75">
      <c r="A61" s="365"/>
      <c r="B61" s="366"/>
      <c r="C61" s="358">
        <v>490</v>
      </c>
      <c r="D61" s="18" t="s">
        <v>356</v>
      </c>
      <c r="E61" s="21">
        <f t="shared" si="1"/>
        <v>50000</v>
      </c>
      <c r="F61" s="21">
        <v>50000</v>
      </c>
      <c r="G61" s="21"/>
      <c r="H61" s="21"/>
      <c r="I61" s="21"/>
    </row>
    <row r="62" spans="1:9" ht="22.5">
      <c r="A62" s="365"/>
      <c r="B62" s="366"/>
      <c r="C62" s="358">
        <v>2680</v>
      </c>
      <c r="D62" s="18" t="s">
        <v>380</v>
      </c>
      <c r="E62" s="21">
        <f t="shared" si="1"/>
        <v>100000</v>
      </c>
      <c r="F62" s="28">
        <v>100000</v>
      </c>
      <c r="G62" s="25"/>
      <c r="H62" s="21"/>
      <c r="I62" s="21"/>
    </row>
    <row r="63" spans="1:9" ht="12.75">
      <c r="A63" s="365"/>
      <c r="B63" s="363">
        <v>75619</v>
      </c>
      <c r="C63" s="370"/>
      <c r="D63" s="328" t="s">
        <v>209</v>
      </c>
      <c r="E63" s="26">
        <f t="shared" si="1"/>
        <v>57000</v>
      </c>
      <c r="F63" s="26">
        <f>SUM(F64:F65)</f>
        <v>57000</v>
      </c>
      <c r="G63" s="21"/>
      <c r="H63" s="21"/>
      <c r="I63" s="21"/>
    </row>
    <row r="64" spans="1:9" ht="12.75">
      <c r="A64" s="374"/>
      <c r="B64" s="371"/>
      <c r="C64" s="358">
        <v>690</v>
      </c>
      <c r="D64" s="326" t="s">
        <v>381</v>
      </c>
      <c r="E64" s="21">
        <f t="shared" si="1"/>
        <v>10000</v>
      </c>
      <c r="F64" s="263">
        <v>10000</v>
      </c>
      <c r="G64" s="22"/>
      <c r="H64" s="21"/>
      <c r="I64" s="21"/>
    </row>
    <row r="65" spans="1:9" ht="12.75">
      <c r="A65" s="374"/>
      <c r="B65" s="371"/>
      <c r="C65" s="372">
        <v>970</v>
      </c>
      <c r="D65" s="326" t="s">
        <v>363</v>
      </c>
      <c r="E65" s="21">
        <f t="shared" si="1"/>
        <v>47000</v>
      </c>
      <c r="F65" s="21">
        <v>47000</v>
      </c>
      <c r="G65" s="21"/>
      <c r="H65" s="21"/>
      <c r="I65" s="21"/>
    </row>
    <row r="66" spans="1:9" ht="22.5">
      <c r="A66" s="365"/>
      <c r="B66" s="363">
        <v>75621</v>
      </c>
      <c r="C66" s="370"/>
      <c r="D66" s="328" t="s">
        <v>210</v>
      </c>
      <c r="E66" s="26">
        <f t="shared" si="1"/>
        <v>17319753</v>
      </c>
      <c r="F66" s="26">
        <f>SUM(F67:F68)</f>
        <v>17319753</v>
      </c>
      <c r="G66" s="21"/>
      <c r="H66" s="21"/>
      <c r="I66" s="21"/>
    </row>
    <row r="67" spans="1:9" ht="12.75">
      <c r="A67" s="365"/>
      <c r="B67" s="366"/>
      <c r="C67" s="358">
        <v>10</v>
      </c>
      <c r="D67" s="18" t="s">
        <v>382</v>
      </c>
      <c r="E67" s="21">
        <f t="shared" si="1"/>
        <v>15819753</v>
      </c>
      <c r="F67" s="28">
        <v>15819753</v>
      </c>
      <c r="G67" s="25"/>
      <c r="H67" s="21"/>
      <c r="I67" s="21"/>
    </row>
    <row r="68" spans="1:9" ht="13.5" thickBot="1">
      <c r="A68" s="418"/>
      <c r="B68" s="419"/>
      <c r="C68" s="420">
        <v>20</v>
      </c>
      <c r="D68" s="413" t="s">
        <v>383</v>
      </c>
      <c r="E68" s="462">
        <f t="shared" si="1"/>
        <v>1500000</v>
      </c>
      <c r="F68" s="473">
        <v>1500000</v>
      </c>
      <c r="G68" s="473"/>
      <c r="H68" s="462"/>
      <c r="I68" s="462"/>
    </row>
    <row r="69" spans="1:9" ht="13.5" thickBot="1">
      <c r="A69" s="373">
        <v>758</v>
      </c>
      <c r="B69" s="359"/>
      <c r="C69" s="360"/>
      <c r="D69" s="30" t="s">
        <v>172</v>
      </c>
      <c r="E69" s="118">
        <f t="shared" si="1"/>
        <v>25137173</v>
      </c>
      <c r="F69" s="474">
        <f>SUM(F70+F72+F74+F76+F78)</f>
        <v>25137173</v>
      </c>
      <c r="G69" s="475"/>
      <c r="H69" s="468"/>
      <c r="I69" s="464"/>
    </row>
    <row r="70" spans="1:9" ht="22.5">
      <c r="A70" s="364"/>
      <c r="B70" s="361">
        <v>75801</v>
      </c>
      <c r="C70" s="416"/>
      <c r="D70" s="327" t="s">
        <v>211</v>
      </c>
      <c r="E70" s="465">
        <f t="shared" si="1"/>
        <v>24454054</v>
      </c>
      <c r="F70" s="469">
        <f>SUM(F71)</f>
        <v>24454054</v>
      </c>
      <c r="G70" s="476"/>
      <c r="H70" s="240"/>
      <c r="I70" s="240"/>
    </row>
    <row r="71" spans="1:9" ht="12.75">
      <c r="A71" s="365"/>
      <c r="B71" s="366"/>
      <c r="C71" s="358">
        <v>2920</v>
      </c>
      <c r="D71" s="18" t="s">
        <v>384</v>
      </c>
      <c r="E71" s="21">
        <f t="shared" si="1"/>
        <v>24454054</v>
      </c>
      <c r="F71" s="21">
        <v>24454054</v>
      </c>
      <c r="G71" s="21"/>
      <c r="H71" s="21"/>
      <c r="I71" s="21"/>
    </row>
    <row r="72" spans="1:9" ht="12.75">
      <c r="A72" s="365"/>
      <c r="B72" s="367">
        <v>75807</v>
      </c>
      <c r="C72" s="368"/>
      <c r="D72" s="375" t="s">
        <v>212</v>
      </c>
      <c r="E72" s="26">
        <f t="shared" si="1"/>
        <v>466715</v>
      </c>
      <c r="F72" s="26">
        <f>SUM(F73)</f>
        <v>466715</v>
      </c>
      <c r="G72" s="470"/>
      <c r="H72" s="21"/>
      <c r="I72" s="21"/>
    </row>
    <row r="73" spans="1:9" ht="12.75">
      <c r="A73" s="365"/>
      <c r="B73" s="366"/>
      <c r="C73" s="358">
        <v>2920</v>
      </c>
      <c r="D73" s="18" t="s">
        <v>384</v>
      </c>
      <c r="E73" s="21">
        <f t="shared" si="1"/>
        <v>466715</v>
      </c>
      <c r="F73" s="263">
        <v>466715</v>
      </c>
      <c r="G73" s="22"/>
      <c r="H73" s="21"/>
      <c r="I73" s="21"/>
    </row>
    <row r="74" spans="1:9" ht="22.5">
      <c r="A74" s="376"/>
      <c r="B74" s="363">
        <v>75809</v>
      </c>
      <c r="C74" s="370"/>
      <c r="D74" s="328" t="s">
        <v>213</v>
      </c>
      <c r="E74" s="26">
        <f t="shared" si="1"/>
        <v>10978</v>
      </c>
      <c r="F74" s="26">
        <f>SUM(F75)</f>
        <v>10978</v>
      </c>
      <c r="G74" s="26"/>
      <c r="H74" s="21"/>
      <c r="I74" s="21"/>
    </row>
    <row r="75" spans="1:9" ht="33.75">
      <c r="A75" s="376"/>
      <c r="B75" s="366"/>
      <c r="C75" s="358">
        <v>2310</v>
      </c>
      <c r="D75" s="377" t="s">
        <v>385</v>
      </c>
      <c r="E75" s="21">
        <f t="shared" si="1"/>
        <v>10978</v>
      </c>
      <c r="F75" s="263">
        <v>10978</v>
      </c>
      <c r="G75" s="263"/>
      <c r="H75" s="21"/>
      <c r="I75" s="21"/>
    </row>
    <row r="76" spans="1:9" ht="12.75">
      <c r="A76" s="376"/>
      <c r="B76" s="363">
        <v>75814</v>
      </c>
      <c r="C76" s="370"/>
      <c r="D76" s="7" t="s">
        <v>214</v>
      </c>
      <c r="E76" s="26">
        <f t="shared" si="1"/>
        <v>100000</v>
      </c>
      <c r="F76" s="26">
        <f>SUM(F77)</f>
        <v>100000</v>
      </c>
      <c r="G76" s="21"/>
      <c r="H76" s="21"/>
      <c r="I76" s="21"/>
    </row>
    <row r="77" spans="1:9" ht="12.75">
      <c r="A77" s="376"/>
      <c r="B77" s="371"/>
      <c r="C77" s="372">
        <v>920</v>
      </c>
      <c r="D77" s="378" t="s">
        <v>386</v>
      </c>
      <c r="E77" s="21">
        <f t="shared" si="1"/>
        <v>100000</v>
      </c>
      <c r="F77" s="21">
        <v>100000</v>
      </c>
      <c r="G77" s="21"/>
      <c r="H77" s="21"/>
      <c r="I77" s="21"/>
    </row>
    <row r="78" spans="1:9" ht="12.75">
      <c r="A78" s="376"/>
      <c r="B78" s="367">
        <v>75831</v>
      </c>
      <c r="C78" s="368"/>
      <c r="D78" s="328" t="s">
        <v>215</v>
      </c>
      <c r="E78" s="26">
        <f t="shared" si="1"/>
        <v>105426</v>
      </c>
      <c r="F78" s="26">
        <f>SUM(F79)</f>
        <v>105426</v>
      </c>
      <c r="G78" s="471"/>
      <c r="H78" s="21"/>
      <c r="I78" s="21"/>
    </row>
    <row r="79" spans="1:9" ht="13.5" thickBot="1">
      <c r="A79" s="421"/>
      <c r="B79" s="371"/>
      <c r="C79" s="372">
        <v>2920</v>
      </c>
      <c r="D79" s="326" t="s">
        <v>384</v>
      </c>
      <c r="E79" s="462">
        <f t="shared" si="1"/>
        <v>105426</v>
      </c>
      <c r="F79" s="467">
        <v>105426</v>
      </c>
      <c r="G79" s="477"/>
      <c r="H79" s="478"/>
      <c r="I79" s="478"/>
    </row>
    <row r="80" spans="1:9" ht="13.5" thickBot="1">
      <c r="A80" s="373">
        <v>801</v>
      </c>
      <c r="B80" s="359"/>
      <c r="C80" s="360"/>
      <c r="D80" s="30" t="s">
        <v>149</v>
      </c>
      <c r="E80" s="118">
        <f t="shared" si="1"/>
        <v>2386265</v>
      </c>
      <c r="F80" s="479">
        <f>SUM(F81+F86+F89+F94+F96+F99)</f>
        <v>2381724</v>
      </c>
      <c r="G80" s="479"/>
      <c r="H80" s="118">
        <f>SUM(H99)</f>
        <v>4541</v>
      </c>
      <c r="I80" s="464"/>
    </row>
    <row r="81" spans="1:9" ht="12.75">
      <c r="A81" s="379"/>
      <c r="B81" s="422">
        <v>80101</v>
      </c>
      <c r="C81" s="423"/>
      <c r="D81" s="422" t="s">
        <v>236</v>
      </c>
      <c r="E81" s="465">
        <f t="shared" si="1"/>
        <v>157293</v>
      </c>
      <c r="F81" s="465">
        <f>SUM(F82:F85)</f>
        <v>157293</v>
      </c>
      <c r="G81" s="465"/>
      <c r="H81" s="240">
        <v>0</v>
      </c>
      <c r="I81" s="240"/>
    </row>
    <row r="82" spans="1:9" ht="45">
      <c r="A82" s="380"/>
      <c r="B82" s="200"/>
      <c r="C82" s="381">
        <v>750</v>
      </c>
      <c r="D82" s="18" t="s">
        <v>358</v>
      </c>
      <c r="E82" s="21">
        <f t="shared" si="1"/>
        <v>103385</v>
      </c>
      <c r="F82" s="21">
        <v>103385</v>
      </c>
      <c r="G82" s="21"/>
      <c r="H82" s="21"/>
      <c r="I82" s="21"/>
    </row>
    <row r="83" spans="1:9" ht="12.75">
      <c r="A83" s="380"/>
      <c r="B83" s="200"/>
      <c r="C83" s="381">
        <v>830</v>
      </c>
      <c r="D83" s="200" t="s">
        <v>360</v>
      </c>
      <c r="E83" s="21">
        <f t="shared" si="1"/>
        <v>29000</v>
      </c>
      <c r="F83" s="21">
        <v>29000</v>
      </c>
      <c r="G83" s="21"/>
      <c r="H83" s="21"/>
      <c r="I83" s="21"/>
    </row>
    <row r="84" spans="1:9" ht="12.75">
      <c r="A84" s="380"/>
      <c r="B84" s="200"/>
      <c r="C84" s="381">
        <v>920</v>
      </c>
      <c r="D84" s="4" t="s">
        <v>386</v>
      </c>
      <c r="E84" s="21">
        <f t="shared" si="1"/>
        <v>20908</v>
      </c>
      <c r="F84" s="21">
        <v>20908</v>
      </c>
      <c r="G84" s="21"/>
      <c r="H84" s="21"/>
      <c r="I84" s="21"/>
    </row>
    <row r="85" spans="1:9" ht="12.75">
      <c r="A85" s="380"/>
      <c r="B85" s="200"/>
      <c r="C85" s="381">
        <v>960</v>
      </c>
      <c r="D85" s="4" t="s">
        <v>352</v>
      </c>
      <c r="E85" s="21">
        <f t="shared" si="1"/>
        <v>4000</v>
      </c>
      <c r="F85" s="21">
        <v>4000</v>
      </c>
      <c r="G85" s="21"/>
      <c r="H85" s="21"/>
      <c r="I85" s="21"/>
    </row>
    <row r="86" spans="1:9" ht="12.75">
      <c r="A86" s="380"/>
      <c r="B86" s="382">
        <v>80104</v>
      </c>
      <c r="C86" s="383"/>
      <c r="D86" s="382" t="s">
        <v>174</v>
      </c>
      <c r="E86" s="26">
        <f t="shared" si="1"/>
        <v>525833</v>
      </c>
      <c r="F86" s="26">
        <f>SUM(F87:F88)</f>
        <v>525833</v>
      </c>
      <c r="G86" s="21"/>
      <c r="H86" s="21"/>
      <c r="I86" s="21"/>
    </row>
    <row r="87" spans="1:9" ht="12.75">
      <c r="A87" s="380"/>
      <c r="B87" s="200"/>
      <c r="C87" s="381">
        <v>830</v>
      </c>
      <c r="D87" s="200" t="s">
        <v>360</v>
      </c>
      <c r="E87" s="21">
        <f t="shared" si="1"/>
        <v>516687</v>
      </c>
      <c r="F87" s="21">
        <v>516687</v>
      </c>
      <c r="G87" s="21"/>
      <c r="H87" s="21"/>
      <c r="I87" s="21"/>
    </row>
    <row r="88" spans="1:9" ht="12.75">
      <c r="A88" s="380"/>
      <c r="B88" s="200"/>
      <c r="C88" s="381">
        <v>920</v>
      </c>
      <c r="D88" s="4" t="s">
        <v>386</v>
      </c>
      <c r="E88" s="21">
        <f t="shared" si="1"/>
        <v>9146</v>
      </c>
      <c r="F88" s="21">
        <v>9146</v>
      </c>
      <c r="G88" s="21"/>
      <c r="H88" s="21"/>
      <c r="I88" s="21"/>
    </row>
    <row r="89" spans="1:9" ht="12.75">
      <c r="A89" s="380"/>
      <c r="B89" s="382">
        <v>80110</v>
      </c>
      <c r="C89" s="383"/>
      <c r="D89" s="382" t="s">
        <v>116</v>
      </c>
      <c r="E89" s="26">
        <f t="shared" si="1"/>
        <v>57458</v>
      </c>
      <c r="F89" s="26">
        <f>SUM(F90:F93)</f>
        <v>57458</v>
      </c>
      <c r="G89" s="26"/>
      <c r="H89" s="21"/>
      <c r="I89" s="21"/>
    </row>
    <row r="90" spans="1:9" ht="45">
      <c r="A90" s="380"/>
      <c r="B90" s="200"/>
      <c r="C90" s="381">
        <v>750</v>
      </c>
      <c r="D90" s="18" t="s">
        <v>358</v>
      </c>
      <c r="E90" s="21">
        <f t="shared" si="1"/>
        <v>36023</v>
      </c>
      <c r="F90" s="21">
        <v>36023</v>
      </c>
      <c r="G90" s="21"/>
      <c r="H90" s="21"/>
      <c r="I90" s="21"/>
    </row>
    <row r="91" spans="1:9" ht="12.75">
      <c r="A91" s="380"/>
      <c r="B91" s="200"/>
      <c r="C91" s="381">
        <v>830</v>
      </c>
      <c r="D91" s="200" t="s">
        <v>360</v>
      </c>
      <c r="E91" s="21">
        <f t="shared" si="1"/>
        <v>18000</v>
      </c>
      <c r="F91" s="21">
        <v>18000</v>
      </c>
      <c r="G91" s="21"/>
      <c r="H91" s="21"/>
      <c r="I91" s="21"/>
    </row>
    <row r="92" spans="1:9" ht="12.75">
      <c r="A92" s="380"/>
      <c r="B92" s="200"/>
      <c r="C92" s="381">
        <v>920</v>
      </c>
      <c r="D92" s="4" t="s">
        <v>386</v>
      </c>
      <c r="E92" s="21">
        <f t="shared" si="1"/>
        <v>2535</v>
      </c>
      <c r="F92" s="21">
        <v>2535</v>
      </c>
      <c r="G92" s="21"/>
      <c r="H92" s="21"/>
      <c r="I92" s="21"/>
    </row>
    <row r="93" spans="1:9" ht="12.75">
      <c r="A93" s="380"/>
      <c r="B93" s="200"/>
      <c r="C93" s="381">
        <v>970</v>
      </c>
      <c r="D93" s="4" t="s">
        <v>363</v>
      </c>
      <c r="E93" s="21">
        <f t="shared" si="1"/>
        <v>900</v>
      </c>
      <c r="F93" s="21">
        <v>900</v>
      </c>
      <c r="G93" s="21"/>
      <c r="H93" s="21"/>
      <c r="I93" s="21"/>
    </row>
    <row r="94" spans="1:9" ht="12.75">
      <c r="A94" s="380"/>
      <c r="B94" s="382">
        <v>80114</v>
      </c>
      <c r="C94" s="383"/>
      <c r="D94" s="382" t="s">
        <v>387</v>
      </c>
      <c r="E94" s="26">
        <f t="shared" si="1"/>
        <v>2455</v>
      </c>
      <c r="F94" s="26">
        <f>SUM(F95)</f>
        <v>2455</v>
      </c>
      <c r="G94" s="21"/>
      <c r="H94" s="21"/>
      <c r="I94" s="21"/>
    </row>
    <row r="95" spans="1:9" ht="12.75">
      <c r="A95" s="380"/>
      <c r="B95" s="200"/>
      <c r="C95" s="381">
        <v>920</v>
      </c>
      <c r="D95" s="4" t="s">
        <v>386</v>
      </c>
      <c r="E95" s="21">
        <f t="shared" si="1"/>
        <v>2455</v>
      </c>
      <c r="F95" s="21">
        <v>2455</v>
      </c>
      <c r="G95" s="21"/>
      <c r="H95" s="21"/>
      <c r="I95" s="21"/>
    </row>
    <row r="96" spans="1:9" ht="12.75">
      <c r="A96" s="380"/>
      <c r="B96" s="382">
        <v>80148</v>
      </c>
      <c r="C96" s="383"/>
      <c r="D96" s="382" t="s">
        <v>388</v>
      </c>
      <c r="E96" s="26">
        <f t="shared" si="1"/>
        <v>1475106</v>
      </c>
      <c r="F96" s="26">
        <f>SUM(F97:F98)</f>
        <v>1475106</v>
      </c>
      <c r="G96" s="21"/>
      <c r="H96" s="21"/>
      <c r="I96" s="21"/>
    </row>
    <row r="97" spans="1:9" ht="45">
      <c r="A97" s="380"/>
      <c r="B97" s="200"/>
      <c r="C97" s="381">
        <v>750</v>
      </c>
      <c r="D97" s="18" t="s">
        <v>358</v>
      </c>
      <c r="E97" s="21">
        <f t="shared" si="1"/>
        <v>615</v>
      </c>
      <c r="F97" s="21">
        <v>615</v>
      </c>
      <c r="G97" s="21"/>
      <c r="H97" s="21"/>
      <c r="I97" s="21"/>
    </row>
    <row r="98" spans="1:9" ht="12.75">
      <c r="A98" s="380"/>
      <c r="B98" s="200"/>
      <c r="C98" s="381">
        <v>830</v>
      </c>
      <c r="D98" s="200" t="s">
        <v>360</v>
      </c>
      <c r="E98" s="21">
        <f t="shared" si="1"/>
        <v>1474491</v>
      </c>
      <c r="F98" s="21">
        <v>1474491</v>
      </c>
      <c r="G98" s="21"/>
      <c r="H98" s="21"/>
      <c r="I98" s="21"/>
    </row>
    <row r="99" spans="1:9" ht="12.75">
      <c r="A99" s="380"/>
      <c r="B99" s="363">
        <v>80195</v>
      </c>
      <c r="C99" s="370"/>
      <c r="D99" s="7" t="s">
        <v>90</v>
      </c>
      <c r="E99" s="26">
        <f t="shared" si="1"/>
        <v>168120</v>
      </c>
      <c r="F99" s="26">
        <f>SUM(F100:F103)</f>
        <v>163579</v>
      </c>
      <c r="G99" s="26"/>
      <c r="H99" s="26">
        <f>SUM(H100:H103)</f>
        <v>4541</v>
      </c>
      <c r="I99" s="26"/>
    </row>
    <row r="100" spans="1:9" ht="45">
      <c r="A100" s="380"/>
      <c r="B100" s="200"/>
      <c r="C100" s="358">
        <v>2007</v>
      </c>
      <c r="D100" s="18" t="s">
        <v>354</v>
      </c>
      <c r="E100" s="21">
        <f t="shared" si="1"/>
        <v>121652</v>
      </c>
      <c r="F100" s="21">
        <v>121652</v>
      </c>
      <c r="G100" s="21"/>
      <c r="H100" s="21"/>
      <c r="I100" s="21"/>
    </row>
    <row r="101" spans="1:9" ht="45">
      <c r="A101" s="380"/>
      <c r="B101" s="200"/>
      <c r="C101" s="358">
        <v>2009</v>
      </c>
      <c r="D101" s="18" t="s">
        <v>354</v>
      </c>
      <c r="E101" s="21">
        <f t="shared" si="1"/>
        <v>21468</v>
      </c>
      <c r="F101" s="21">
        <v>21468</v>
      </c>
      <c r="G101" s="21"/>
      <c r="H101" s="21"/>
      <c r="I101" s="21"/>
    </row>
    <row r="102" spans="1:9" ht="45">
      <c r="A102" s="380"/>
      <c r="B102" s="200"/>
      <c r="C102" s="358">
        <v>2700</v>
      </c>
      <c r="D102" s="18" t="s">
        <v>389</v>
      </c>
      <c r="E102" s="21">
        <f t="shared" si="1"/>
        <v>20459</v>
      </c>
      <c r="F102" s="21">
        <v>20459</v>
      </c>
      <c r="G102" s="21"/>
      <c r="H102" s="21"/>
      <c r="I102" s="21"/>
    </row>
    <row r="103" spans="1:9" ht="34.5" thickBot="1">
      <c r="A103" s="746"/>
      <c r="B103" s="253"/>
      <c r="C103" s="372">
        <v>6290</v>
      </c>
      <c r="D103" s="326" t="s">
        <v>392</v>
      </c>
      <c r="E103" s="21">
        <f t="shared" si="1"/>
        <v>4541</v>
      </c>
      <c r="F103" s="462"/>
      <c r="G103" s="462"/>
      <c r="H103" s="462">
        <v>4541</v>
      </c>
      <c r="I103" s="462"/>
    </row>
    <row r="104" spans="1:9" ht="13.5" thickBot="1">
      <c r="A104" s="373">
        <v>851</v>
      </c>
      <c r="B104" s="359"/>
      <c r="C104" s="360"/>
      <c r="D104" s="30" t="s">
        <v>177</v>
      </c>
      <c r="E104" s="118">
        <f t="shared" si="1"/>
        <v>550000</v>
      </c>
      <c r="F104" s="118">
        <f>SUM(F105)</f>
        <v>550000</v>
      </c>
      <c r="G104" s="468"/>
      <c r="H104" s="468"/>
      <c r="I104" s="464" t="s">
        <v>60</v>
      </c>
    </row>
    <row r="105" spans="1:9" ht="12.75">
      <c r="A105" s="364"/>
      <c r="B105" s="361">
        <v>85154</v>
      </c>
      <c r="C105" s="416"/>
      <c r="D105" s="8" t="s">
        <v>179</v>
      </c>
      <c r="E105" s="465">
        <f t="shared" si="1"/>
        <v>550000</v>
      </c>
      <c r="F105" s="465">
        <f>SUM(F106)</f>
        <v>550000</v>
      </c>
      <c r="G105" s="240"/>
      <c r="H105" s="240"/>
      <c r="I105" s="240"/>
    </row>
    <row r="106" spans="1:9" ht="13.5" thickBot="1">
      <c r="A106" s="374"/>
      <c r="B106" s="371"/>
      <c r="C106" s="372">
        <v>480</v>
      </c>
      <c r="D106" s="326" t="s">
        <v>390</v>
      </c>
      <c r="E106" s="462">
        <f t="shared" si="1"/>
        <v>550000</v>
      </c>
      <c r="F106" s="462">
        <v>550000</v>
      </c>
      <c r="G106" s="462"/>
      <c r="H106" s="462"/>
      <c r="I106" s="462"/>
    </row>
    <row r="107" spans="1:9" ht="13.5" thickBot="1">
      <c r="A107" s="373">
        <v>852</v>
      </c>
      <c r="B107" s="359"/>
      <c r="C107" s="360"/>
      <c r="D107" s="30" t="s">
        <v>127</v>
      </c>
      <c r="E107" s="118">
        <f t="shared" si="1"/>
        <v>12903773</v>
      </c>
      <c r="F107" s="118">
        <f>SUM(F108+F113+F117+F120+F122+F125+F130+F132)</f>
        <v>12558066</v>
      </c>
      <c r="G107" s="118">
        <f>SUM(G108+G113+G117+G120+G122+G125+G130+G132)</f>
        <v>10843139</v>
      </c>
      <c r="H107" s="118">
        <f>SUM(H108)</f>
        <v>345707</v>
      </c>
      <c r="I107" s="464"/>
    </row>
    <row r="108" spans="1:9" ht="12.75">
      <c r="A108" s="379"/>
      <c r="B108" s="384">
        <v>85203</v>
      </c>
      <c r="C108" s="385"/>
      <c r="D108" s="424" t="s">
        <v>120</v>
      </c>
      <c r="E108" s="465">
        <f t="shared" si="1"/>
        <v>888607</v>
      </c>
      <c r="F108" s="465">
        <f>SUM(F109:F111)</f>
        <v>542900</v>
      </c>
      <c r="G108" s="465">
        <f>SUM(G109:G111)</f>
        <v>352800</v>
      </c>
      <c r="H108" s="465">
        <f>SUM(H110:H112)</f>
        <v>345707</v>
      </c>
      <c r="I108" s="240"/>
    </row>
    <row r="109" spans="1:9" ht="12.75">
      <c r="A109" s="379"/>
      <c r="B109" s="384"/>
      <c r="C109" s="381">
        <v>830</v>
      </c>
      <c r="D109" s="200" t="s">
        <v>360</v>
      </c>
      <c r="E109" s="21">
        <f t="shared" si="1"/>
        <v>190000</v>
      </c>
      <c r="F109" s="21">
        <v>190000</v>
      </c>
      <c r="G109" s="21"/>
      <c r="H109" s="21"/>
      <c r="I109" s="21"/>
    </row>
    <row r="110" spans="1:9" ht="45">
      <c r="A110" s="379"/>
      <c r="B110" s="384"/>
      <c r="C110" s="386">
        <v>2010</v>
      </c>
      <c r="D110" s="18" t="s">
        <v>353</v>
      </c>
      <c r="E110" s="21">
        <f t="shared" si="1"/>
        <v>352800</v>
      </c>
      <c r="F110" s="21">
        <v>352800</v>
      </c>
      <c r="G110" s="21">
        <v>352800</v>
      </c>
      <c r="H110" s="21">
        <v>0</v>
      </c>
      <c r="I110" s="21"/>
    </row>
    <row r="111" spans="1:9" ht="33.75">
      <c r="A111" s="379"/>
      <c r="B111" s="384"/>
      <c r="C111" s="358">
        <v>2360</v>
      </c>
      <c r="D111" s="18" t="s">
        <v>391</v>
      </c>
      <c r="E111" s="21">
        <f t="shared" si="1"/>
        <v>100</v>
      </c>
      <c r="F111" s="21">
        <v>100</v>
      </c>
      <c r="G111" s="21" t="s">
        <v>60</v>
      </c>
      <c r="H111" s="21">
        <v>0</v>
      </c>
      <c r="I111" s="21"/>
    </row>
    <row r="112" spans="1:9" ht="33.75">
      <c r="A112" s="379"/>
      <c r="B112" s="384"/>
      <c r="C112" s="372">
        <v>6290</v>
      </c>
      <c r="D112" s="326" t="s">
        <v>392</v>
      </c>
      <c r="E112" s="21"/>
      <c r="F112" s="21"/>
      <c r="G112" s="21"/>
      <c r="H112" s="21">
        <v>345707</v>
      </c>
      <c r="I112" s="21"/>
    </row>
    <row r="113" spans="1:9" ht="45">
      <c r="A113" s="379"/>
      <c r="B113" s="384">
        <v>85212</v>
      </c>
      <c r="C113" s="385"/>
      <c r="D113" s="387" t="s">
        <v>180</v>
      </c>
      <c r="E113" s="26">
        <f aca="true" t="shared" si="2" ref="E113:E156">SUM(F113+H113)</f>
        <v>10527855</v>
      </c>
      <c r="F113" s="26">
        <f>SUM(F114:F116)</f>
        <v>10527855</v>
      </c>
      <c r="G113" s="26">
        <f>SUM(G114:G116)</f>
        <v>10476355</v>
      </c>
      <c r="H113" s="26"/>
      <c r="I113" s="21"/>
    </row>
    <row r="114" spans="1:9" ht="12.75">
      <c r="A114" s="379"/>
      <c r="B114" s="384"/>
      <c r="C114" s="386">
        <v>920</v>
      </c>
      <c r="D114" s="4" t="s">
        <v>386</v>
      </c>
      <c r="E114" s="21">
        <f t="shared" si="2"/>
        <v>1500</v>
      </c>
      <c r="F114" s="21">
        <v>1500</v>
      </c>
      <c r="G114" s="21"/>
      <c r="H114" s="21"/>
      <c r="I114" s="21"/>
    </row>
    <row r="115" spans="1:9" ht="45">
      <c r="A115" s="380"/>
      <c r="B115" s="384"/>
      <c r="C115" s="386">
        <v>2010</v>
      </c>
      <c r="D115" s="18" t="s">
        <v>353</v>
      </c>
      <c r="E115" s="21">
        <f t="shared" si="2"/>
        <v>10476355</v>
      </c>
      <c r="F115" s="21">
        <v>10476355</v>
      </c>
      <c r="G115" s="21">
        <v>10476355</v>
      </c>
      <c r="H115" s="21"/>
      <c r="I115" s="21"/>
    </row>
    <row r="116" spans="1:9" ht="33.75">
      <c r="A116" s="379"/>
      <c r="B116" s="384"/>
      <c r="C116" s="358">
        <v>2360</v>
      </c>
      <c r="D116" s="18" t="s">
        <v>391</v>
      </c>
      <c r="E116" s="21">
        <f t="shared" si="2"/>
        <v>50000</v>
      </c>
      <c r="F116" s="21">
        <v>50000</v>
      </c>
      <c r="G116" s="21">
        <v>0</v>
      </c>
      <c r="H116" s="21"/>
      <c r="I116" s="21"/>
    </row>
    <row r="117" spans="1:9" ht="56.25">
      <c r="A117" s="364"/>
      <c r="B117" s="361">
        <v>85213</v>
      </c>
      <c r="C117" s="388"/>
      <c r="D117" s="328" t="s">
        <v>216</v>
      </c>
      <c r="E117" s="26">
        <f t="shared" si="2"/>
        <v>89682</v>
      </c>
      <c r="F117" s="26">
        <f>SUM(F118:F119)</f>
        <v>89682</v>
      </c>
      <c r="G117" s="26">
        <f>SUM(G118:G119)</f>
        <v>13984</v>
      </c>
      <c r="H117" s="26"/>
      <c r="I117" s="21"/>
    </row>
    <row r="118" spans="1:9" ht="45">
      <c r="A118" s="365"/>
      <c r="B118" s="366"/>
      <c r="C118" s="358">
        <v>2010</v>
      </c>
      <c r="D118" s="18" t="s">
        <v>353</v>
      </c>
      <c r="E118" s="21">
        <f t="shared" si="2"/>
        <v>13984</v>
      </c>
      <c r="F118" s="21">
        <v>13984</v>
      </c>
      <c r="G118" s="21">
        <v>13984</v>
      </c>
      <c r="H118" s="21"/>
      <c r="I118" s="21"/>
    </row>
    <row r="119" spans="1:9" ht="33.75">
      <c r="A119" s="365"/>
      <c r="B119" s="366"/>
      <c r="C119" s="358">
        <v>2030</v>
      </c>
      <c r="D119" s="18" t="s">
        <v>367</v>
      </c>
      <c r="E119" s="21">
        <f t="shared" si="2"/>
        <v>75698</v>
      </c>
      <c r="F119" s="21">
        <v>75698</v>
      </c>
      <c r="G119" s="21">
        <v>0</v>
      </c>
      <c r="H119" s="21"/>
      <c r="I119" s="21"/>
    </row>
    <row r="120" spans="1:9" ht="22.5">
      <c r="A120" s="365"/>
      <c r="B120" s="363">
        <v>85214</v>
      </c>
      <c r="C120" s="358"/>
      <c r="D120" s="328" t="s">
        <v>130</v>
      </c>
      <c r="E120" s="26">
        <f t="shared" si="2"/>
        <v>209822</v>
      </c>
      <c r="F120" s="26">
        <f>SUM(F121)</f>
        <v>209822</v>
      </c>
      <c r="G120" s="26"/>
      <c r="H120" s="26"/>
      <c r="I120" s="21"/>
    </row>
    <row r="121" spans="1:9" ht="33.75">
      <c r="A121" s="365"/>
      <c r="B121" s="366"/>
      <c r="C121" s="358">
        <v>2030</v>
      </c>
      <c r="D121" s="18" t="s">
        <v>367</v>
      </c>
      <c r="E121" s="21">
        <f t="shared" si="2"/>
        <v>209822</v>
      </c>
      <c r="F121" s="21">
        <v>209822</v>
      </c>
      <c r="G121" s="21"/>
      <c r="H121" s="21"/>
      <c r="I121" s="21"/>
    </row>
    <row r="122" spans="1:9" ht="12.75">
      <c r="A122" s="369"/>
      <c r="B122" s="363">
        <v>85216</v>
      </c>
      <c r="C122" s="385"/>
      <c r="D122" s="328" t="s">
        <v>131</v>
      </c>
      <c r="E122" s="26">
        <f t="shared" si="2"/>
        <v>652623</v>
      </c>
      <c r="F122" s="26">
        <f>SUM(F123:F124)</f>
        <v>652623</v>
      </c>
      <c r="G122" s="26"/>
      <c r="H122" s="26"/>
      <c r="I122" s="21"/>
    </row>
    <row r="123" spans="1:9" ht="12.75">
      <c r="A123" s="369"/>
      <c r="B123" s="363"/>
      <c r="C123" s="386">
        <v>970</v>
      </c>
      <c r="D123" s="378" t="s">
        <v>363</v>
      </c>
      <c r="E123" s="21">
        <f t="shared" si="2"/>
        <v>0</v>
      </c>
      <c r="F123" s="21">
        <v>0</v>
      </c>
      <c r="G123" s="21"/>
      <c r="H123" s="21"/>
      <c r="I123" s="21"/>
    </row>
    <row r="124" spans="1:9" ht="33.75">
      <c r="A124" s="365"/>
      <c r="B124" s="366"/>
      <c r="C124" s="358">
        <v>2030</v>
      </c>
      <c r="D124" s="18" t="s">
        <v>367</v>
      </c>
      <c r="E124" s="21">
        <f t="shared" si="2"/>
        <v>652623</v>
      </c>
      <c r="F124" s="21">
        <v>652623</v>
      </c>
      <c r="G124" s="21"/>
      <c r="H124" s="21"/>
      <c r="I124" s="21"/>
    </row>
    <row r="125" spans="1:9" ht="12.75">
      <c r="A125" s="365"/>
      <c r="B125" s="363">
        <v>85219</v>
      </c>
      <c r="C125" s="358"/>
      <c r="D125" s="7" t="s">
        <v>184</v>
      </c>
      <c r="E125" s="26">
        <f t="shared" si="2"/>
        <v>533184</v>
      </c>
      <c r="F125" s="26">
        <f>SUM(F126:F129)</f>
        <v>533184</v>
      </c>
      <c r="G125" s="26">
        <v>0</v>
      </c>
      <c r="H125" s="26"/>
      <c r="I125" s="21"/>
    </row>
    <row r="126" spans="1:9" ht="12.75">
      <c r="A126" s="374"/>
      <c r="B126" s="389"/>
      <c r="C126" s="381">
        <v>830</v>
      </c>
      <c r="D126" s="200" t="s">
        <v>360</v>
      </c>
      <c r="E126" s="21">
        <f t="shared" si="2"/>
        <v>40000</v>
      </c>
      <c r="F126" s="21">
        <v>40000</v>
      </c>
      <c r="G126" s="21"/>
      <c r="H126" s="21"/>
      <c r="I126" s="21"/>
    </row>
    <row r="127" spans="1:9" ht="12.75">
      <c r="A127" s="374"/>
      <c r="B127" s="389"/>
      <c r="C127" s="358">
        <v>920</v>
      </c>
      <c r="D127" s="200" t="s">
        <v>386</v>
      </c>
      <c r="E127" s="21">
        <f t="shared" si="2"/>
        <v>10000</v>
      </c>
      <c r="F127" s="21">
        <v>10000</v>
      </c>
      <c r="G127" s="21"/>
      <c r="H127" s="21"/>
      <c r="I127" s="21"/>
    </row>
    <row r="128" spans="1:9" ht="12.75">
      <c r="A128" s="374"/>
      <c r="B128" s="389"/>
      <c r="C128" s="381">
        <v>970</v>
      </c>
      <c r="D128" s="200" t="s">
        <v>363</v>
      </c>
      <c r="E128" s="21">
        <f t="shared" si="2"/>
        <v>3000</v>
      </c>
      <c r="F128" s="21">
        <v>3000</v>
      </c>
      <c r="G128" s="21"/>
      <c r="H128" s="21"/>
      <c r="I128" s="21"/>
    </row>
    <row r="129" spans="1:9" ht="33.75">
      <c r="A129" s="374"/>
      <c r="B129" s="371"/>
      <c r="C129" s="372">
        <v>2030</v>
      </c>
      <c r="D129" s="18" t="s">
        <v>367</v>
      </c>
      <c r="E129" s="21">
        <f t="shared" si="2"/>
        <v>480184</v>
      </c>
      <c r="F129" s="21">
        <v>480184</v>
      </c>
      <c r="G129" s="21"/>
      <c r="H129" s="21"/>
      <c r="I129" s="21"/>
    </row>
    <row r="130" spans="1:9" ht="12.75">
      <c r="A130" s="374"/>
      <c r="B130" s="363">
        <v>85278</v>
      </c>
      <c r="C130" s="358"/>
      <c r="D130" s="7" t="s">
        <v>296</v>
      </c>
      <c r="E130" s="26">
        <f t="shared" si="2"/>
        <v>0</v>
      </c>
      <c r="F130" s="26">
        <f>SUM(F131)</f>
        <v>0</v>
      </c>
      <c r="G130" s="26">
        <v>0</v>
      </c>
      <c r="H130" s="21"/>
      <c r="I130" s="21"/>
    </row>
    <row r="131" spans="1:9" ht="45">
      <c r="A131" s="374"/>
      <c r="B131" s="371"/>
      <c r="C131" s="372">
        <v>2010</v>
      </c>
      <c r="D131" s="18" t="s">
        <v>353</v>
      </c>
      <c r="E131" s="21">
        <f t="shared" si="2"/>
        <v>0</v>
      </c>
      <c r="F131" s="21">
        <v>0</v>
      </c>
      <c r="G131" s="21">
        <v>0</v>
      </c>
      <c r="H131" s="21"/>
      <c r="I131" s="21"/>
    </row>
    <row r="132" spans="1:9" ht="12.75">
      <c r="A132" s="365"/>
      <c r="B132" s="363">
        <v>85295</v>
      </c>
      <c r="C132" s="370"/>
      <c r="D132" s="7" t="s">
        <v>90</v>
      </c>
      <c r="E132" s="26">
        <f t="shared" si="2"/>
        <v>2000</v>
      </c>
      <c r="F132" s="26">
        <f>SUM(F133:F133)</f>
        <v>2000</v>
      </c>
      <c r="G132" s="26"/>
      <c r="H132" s="26"/>
      <c r="I132" s="21"/>
    </row>
    <row r="133" spans="1:9" ht="13.5" thickBot="1">
      <c r="A133" s="374"/>
      <c r="B133" s="389"/>
      <c r="C133" s="372">
        <v>920</v>
      </c>
      <c r="D133" s="18" t="s">
        <v>386</v>
      </c>
      <c r="E133" s="21">
        <f t="shared" si="2"/>
        <v>2000</v>
      </c>
      <c r="F133" s="21">
        <v>2000</v>
      </c>
      <c r="G133" s="21"/>
      <c r="H133" s="21"/>
      <c r="I133" s="21"/>
    </row>
    <row r="134" spans="1:9" ht="23.25" thickBot="1">
      <c r="A134" s="373">
        <v>853</v>
      </c>
      <c r="B134" s="359"/>
      <c r="C134" s="360"/>
      <c r="D134" s="32" t="s">
        <v>185</v>
      </c>
      <c r="E134" s="118">
        <f t="shared" si="2"/>
        <v>21300</v>
      </c>
      <c r="F134" s="118">
        <f>SUM(F135)</f>
        <v>21300</v>
      </c>
      <c r="G134" s="118">
        <v>0</v>
      </c>
      <c r="H134" s="468"/>
      <c r="I134" s="464"/>
    </row>
    <row r="135" spans="1:9" ht="12.75">
      <c r="A135" s="364"/>
      <c r="B135" s="361">
        <v>85305</v>
      </c>
      <c r="C135" s="416"/>
      <c r="D135" s="8" t="s">
        <v>186</v>
      </c>
      <c r="E135" s="465">
        <f t="shared" si="2"/>
        <v>21300</v>
      </c>
      <c r="F135" s="465">
        <f>SUM(F136)</f>
        <v>21300</v>
      </c>
      <c r="G135" s="465"/>
      <c r="H135" s="240"/>
      <c r="I135" s="240"/>
    </row>
    <row r="136" spans="1:9" ht="13.5" thickBot="1">
      <c r="A136" s="374"/>
      <c r="B136" s="371"/>
      <c r="C136" s="372">
        <v>830</v>
      </c>
      <c r="D136" s="378" t="s">
        <v>360</v>
      </c>
      <c r="E136" s="462">
        <f t="shared" si="2"/>
        <v>21300</v>
      </c>
      <c r="F136" s="462">
        <v>21300</v>
      </c>
      <c r="G136" s="462"/>
      <c r="H136" s="462"/>
      <c r="I136" s="462"/>
    </row>
    <row r="137" spans="1:9" ht="23.25" thickBot="1">
      <c r="A137" s="373">
        <v>900</v>
      </c>
      <c r="B137" s="359"/>
      <c r="C137" s="360"/>
      <c r="D137" s="32" t="s">
        <v>92</v>
      </c>
      <c r="E137" s="118">
        <f t="shared" si="2"/>
        <v>11031816.26</v>
      </c>
      <c r="F137" s="118">
        <f>SUM(F138+F140+F144)</f>
        <v>1032526</v>
      </c>
      <c r="G137" s="118">
        <v>0</v>
      </c>
      <c r="H137" s="118">
        <f>SUM(H138+H144)</f>
        <v>9999290.26</v>
      </c>
      <c r="I137" s="342">
        <v>9999290.26</v>
      </c>
    </row>
    <row r="138" spans="1:9" ht="12.75">
      <c r="A138" s="379"/>
      <c r="B138" s="317">
        <v>90001</v>
      </c>
      <c r="C138" s="425"/>
      <c r="D138" s="327" t="s">
        <v>188</v>
      </c>
      <c r="E138" s="465">
        <f t="shared" si="2"/>
        <v>1413026.94</v>
      </c>
      <c r="F138" s="465">
        <f>SUM(F139)</f>
        <v>0</v>
      </c>
      <c r="G138" s="465"/>
      <c r="H138" s="465">
        <f>SUM(H139)</f>
        <v>1413026.94</v>
      </c>
      <c r="I138" s="465">
        <v>1413026.94</v>
      </c>
    </row>
    <row r="139" spans="1:9" ht="45">
      <c r="A139" s="379"/>
      <c r="B139" s="317"/>
      <c r="C139" s="358">
        <v>6207</v>
      </c>
      <c r="D139" s="18" t="s">
        <v>354</v>
      </c>
      <c r="E139" s="21">
        <f t="shared" si="2"/>
        <v>1413026.94</v>
      </c>
      <c r="F139" s="21"/>
      <c r="G139" s="21"/>
      <c r="H139" s="21">
        <v>1413026.94</v>
      </c>
      <c r="I139" s="21">
        <v>1413026.94</v>
      </c>
    </row>
    <row r="140" spans="1:9" ht="27.75" customHeight="1">
      <c r="A140" s="380"/>
      <c r="B140" s="390">
        <v>90019</v>
      </c>
      <c r="C140" s="391"/>
      <c r="D140" s="328" t="s">
        <v>217</v>
      </c>
      <c r="E140" s="26">
        <f t="shared" si="2"/>
        <v>586000</v>
      </c>
      <c r="F140" s="26">
        <f>SUM(F141:F143)</f>
        <v>586000</v>
      </c>
      <c r="G140" s="26"/>
      <c r="H140" s="26"/>
      <c r="I140" s="21"/>
    </row>
    <row r="141" spans="1:9" ht="12.75">
      <c r="A141" s="380"/>
      <c r="B141" s="392"/>
      <c r="C141" s="358">
        <v>570</v>
      </c>
      <c r="D141" s="326" t="s">
        <v>366</v>
      </c>
      <c r="E141" s="21">
        <f t="shared" si="2"/>
        <v>2000</v>
      </c>
      <c r="F141" s="21">
        <v>2000</v>
      </c>
      <c r="G141" s="21"/>
      <c r="H141" s="21"/>
      <c r="I141" s="21"/>
    </row>
    <row r="142" spans="1:9" ht="12.75">
      <c r="A142" s="380"/>
      <c r="B142" s="392"/>
      <c r="C142" s="358">
        <v>690</v>
      </c>
      <c r="D142" s="326" t="s">
        <v>357</v>
      </c>
      <c r="E142" s="21">
        <f t="shared" si="2"/>
        <v>584000</v>
      </c>
      <c r="F142" s="21">
        <v>584000</v>
      </c>
      <c r="G142" s="21"/>
      <c r="H142" s="21"/>
      <c r="I142" s="21"/>
    </row>
    <row r="143" spans="1:9" ht="12.75">
      <c r="A143" s="380"/>
      <c r="B143" s="392"/>
      <c r="C143" s="393">
        <v>970</v>
      </c>
      <c r="D143" s="378" t="s">
        <v>363</v>
      </c>
      <c r="E143" s="21">
        <f t="shared" si="2"/>
        <v>0</v>
      </c>
      <c r="F143" s="21">
        <v>0</v>
      </c>
      <c r="G143" s="21"/>
      <c r="H143" s="21"/>
      <c r="I143" s="21"/>
    </row>
    <row r="144" spans="1:9" ht="12.75">
      <c r="A144" s="365"/>
      <c r="B144" s="363">
        <v>90095</v>
      </c>
      <c r="C144" s="370"/>
      <c r="D144" s="7" t="s">
        <v>90</v>
      </c>
      <c r="E144" s="26">
        <f t="shared" si="2"/>
        <v>9032789.32</v>
      </c>
      <c r="F144" s="26">
        <f>SUM(F145:F147)</f>
        <v>446526</v>
      </c>
      <c r="G144" s="26">
        <v>0</v>
      </c>
      <c r="H144" s="26">
        <f>SUM(H145:H147)</f>
        <v>8586263.32</v>
      </c>
      <c r="I144" s="26">
        <v>8586263.32</v>
      </c>
    </row>
    <row r="145" spans="1:9" ht="12.75">
      <c r="A145" s="365"/>
      <c r="B145" s="366"/>
      <c r="C145" s="372">
        <v>690</v>
      </c>
      <c r="D145" s="326" t="s">
        <v>381</v>
      </c>
      <c r="E145" s="21">
        <f t="shared" si="2"/>
        <v>80000</v>
      </c>
      <c r="F145" s="21">
        <v>80000</v>
      </c>
      <c r="G145" s="21" t="s">
        <v>60</v>
      </c>
      <c r="H145" s="21"/>
      <c r="I145" s="21"/>
    </row>
    <row r="146" spans="1:9" ht="22.5">
      <c r="A146" s="365"/>
      <c r="B146" s="366"/>
      <c r="C146" s="358">
        <v>740</v>
      </c>
      <c r="D146" s="18" t="s">
        <v>393</v>
      </c>
      <c r="E146" s="21">
        <f t="shared" si="2"/>
        <v>366526</v>
      </c>
      <c r="F146" s="21">
        <v>366526</v>
      </c>
      <c r="G146" s="21"/>
      <c r="H146" s="21"/>
      <c r="I146" s="21"/>
    </row>
    <row r="147" spans="1:9" ht="45.75" thickBot="1">
      <c r="A147" s="417"/>
      <c r="B147" s="419"/>
      <c r="C147" s="420">
        <v>6207</v>
      </c>
      <c r="D147" s="326" t="s">
        <v>354</v>
      </c>
      <c r="E147" s="462">
        <f t="shared" si="2"/>
        <v>8586263.32</v>
      </c>
      <c r="F147" s="462">
        <v>0</v>
      </c>
      <c r="G147" s="462">
        <v>0</v>
      </c>
      <c r="H147" s="462">
        <v>8586263.32</v>
      </c>
      <c r="I147" s="462">
        <v>8586263.32</v>
      </c>
    </row>
    <row r="148" spans="1:9" ht="13.5" thickBot="1">
      <c r="A148" s="426">
        <v>921</v>
      </c>
      <c r="B148" s="480"/>
      <c r="C148" s="748"/>
      <c r="D148" s="747" t="s">
        <v>193</v>
      </c>
      <c r="E148" s="118">
        <f t="shared" si="2"/>
        <v>1549685.93</v>
      </c>
      <c r="F148" s="118"/>
      <c r="G148" s="118"/>
      <c r="H148" s="342">
        <f>SUM(H149)</f>
        <v>1549685.93</v>
      </c>
      <c r="I148" s="342">
        <f>SUM(I149)</f>
        <v>1549685.93</v>
      </c>
    </row>
    <row r="149" spans="1:9" ht="12.75">
      <c r="A149" s="481"/>
      <c r="B149" s="482">
        <v>92109</v>
      </c>
      <c r="C149" s="388"/>
      <c r="D149" s="327" t="s">
        <v>194</v>
      </c>
      <c r="E149" s="465">
        <f t="shared" si="2"/>
        <v>1549685.93</v>
      </c>
      <c r="F149" s="465"/>
      <c r="G149" s="465"/>
      <c r="H149" s="465">
        <f>SUM(H150)</f>
        <v>1549685.93</v>
      </c>
      <c r="I149" s="465">
        <f>SUM(I150)</f>
        <v>1549685.93</v>
      </c>
    </row>
    <row r="150" spans="1:9" ht="45.75" thickBot="1">
      <c r="A150" s="374"/>
      <c r="B150" s="371"/>
      <c r="C150" s="372">
        <v>6207</v>
      </c>
      <c r="D150" s="326" t="s">
        <v>354</v>
      </c>
      <c r="E150" s="462">
        <f t="shared" si="2"/>
        <v>1549685.93</v>
      </c>
      <c r="F150" s="462"/>
      <c r="G150" s="462"/>
      <c r="H150" s="462">
        <v>1549685.93</v>
      </c>
      <c r="I150" s="462">
        <v>1549685.93</v>
      </c>
    </row>
    <row r="151" spans="1:9" ht="13.5" thickBot="1">
      <c r="A151" s="329">
        <v>926</v>
      </c>
      <c r="B151" s="330"/>
      <c r="C151" s="331"/>
      <c r="D151" s="30" t="s">
        <v>540</v>
      </c>
      <c r="E151" s="118">
        <f t="shared" si="2"/>
        <v>333431</v>
      </c>
      <c r="F151" s="118">
        <f>SUM(F154)</f>
        <v>68231</v>
      </c>
      <c r="G151" s="118"/>
      <c r="H151" s="342">
        <f>SUM(H152)</f>
        <v>265200</v>
      </c>
      <c r="I151" s="342">
        <f>SUM(I152)</f>
        <v>265200</v>
      </c>
    </row>
    <row r="152" spans="1:9" ht="12.75">
      <c r="A152" s="749"/>
      <c r="B152" s="617">
        <v>92601</v>
      </c>
      <c r="C152" s="750"/>
      <c r="D152" s="327" t="s">
        <v>194</v>
      </c>
      <c r="E152" s="465">
        <f>SUM(H152+F152)</f>
        <v>265200</v>
      </c>
      <c r="F152" s="465"/>
      <c r="G152" s="465"/>
      <c r="H152" s="465">
        <f>SUM(H153)</f>
        <v>265200</v>
      </c>
      <c r="I152" s="465">
        <f>SUM(I153)</f>
        <v>265200</v>
      </c>
    </row>
    <row r="153" spans="1:9" ht="45">
      <c r="A153" s="514"/>
      <c r="B153" s="515"/>
      <c r="C153" s="358">
        <v>6207</v>
      </c>
      <c r="D153" s="18" t="s">
        <v>354</v>
      </c>
      <c r="E153" s="263">
        <f>SUM(H153+F153)</f>
        <v>265200</v>
      </c>
      <c r="F153" s="263"/>
      <c r="G153" s="263"/>
      <c r="H153" s="263">
        <v>265200</v>
      </c>
      <c r="I153" s="263">
        <v>265200</v>
      </c>
    </row>
    <row r="154" spans="1:9" ht="12.75">
      <c r="A154" s="364"/>
      <c r="B154" s="317">
        <v>92695</v>
      </c>
      <c r="C154" s="716"/>
      <c r="D154" s="717" t="s">
        <v>90</v>
      </c>
      <c r="E154" s="718">
        <f t="shared" si="2"/>
        <v>68231</v>
      </c>
      <c r="F154" s="465">
        <f>SUM(F155)</f>
        <v>68231</v>
      </c>
      <c r="G154" s="465"/>
      <c r="H154" s="465"/>
      <c r="I154" s="465"/>
    </row>
    <row r="155" spans="1:9" ht="23.25" thickBot="1">
      <c r="A155" s="374"/>
      <c r="B155" s="371"/>
      <c r="C155" s="715">
        <v>2370</v>
      </c>
      <c r="D155" s="546" t="s">
        <v>465</v>
      </c>
      <c r="E155" s="462">
        <f t="shared" si="2"/>
        <v>68231</v>
      </c>
      <c r="F155" s="462">
        <v>68231</v>
      </c>
      <c r="G155" s="462"/>
      <c r="H155" s="462"/>
      <c r="I155" s="462"/>
    </row>
    <row r="156" spans="1:9" ht="13.5" thickBot="1">
      <c r="A156" s="394"/>
      <c r="B156" s="395"/>
      <c r="C156" s="396"/>
      <c r="D156" s="395" t="s">
        <v>63</v>
      </c>
      <c r="E156" s="118">
        <f t="shared" si="2"/>
        <v>95451146.35</v>
      </c>
      <c r="F156" s="118">
        <f>SUM(F7+F10+F13+F23+F30+F33+F38+F69+F80+F104+F107+F134+F137+F151)</f>
        <v>76591316</v>
      </c>
      <c r="G156" s="118">
        <f>SUM(G7+G10+G13+G23+G30+G33+G38+G69+G80+G104+G107+G134+G137)</f>
        <v>11067535</v>
      </c>
      <c r="H156" s="118">
        <f>SUM(H10+H13+H80+H107+H137+H148+H151)</f>
        <v>18859830.35</v>
      </c>
      <c r="I156" s="342">
        <f>SUM(I10+I13+I137+I148+I151)</f>
        <v>14009582.35</v>
      </c>
    </row>
  </sheetData>
  <sheetProtection/>
  <mergeCells count="10">
    <mergeCell ref="E3:E5"/>
    <mergeCell ref="F3:I3"/>
    <mergeCell ref="F4:F5"/>
    <mergeCell ref="H4:H5"/>
    <mergeCell ref="A1:D1"/>
    <mergeCell ref="A2:D2"/>
    <mergeCell ref="A3:A5"/>
    <mergeCell ref="B3:B5"/>
    <mergeCell ref="C3:C5"/>
    <mergeCell ref="D3:D5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6.00390625" style="0" customWidth="1"/>
    <col min="2" max="2" width="7.875" style="0" customWidth="1"/>
    <col min="3" max="3" width="7.25390625" style="0" customWidth="1"/>
    <col min="4" max="4" width="39.625" style="0" customWidth="1"/>
    <col min="5" max="5" width="11.875" style="0" customWidth="1"/>
    <col min="6" max="6" width="12.375" style="0" customWidth="1"/>
    <col min="7" max="7" width="11.875" style="0" customWidth="1"/>
    <col min="8" max="8" width="10.75390625" style="0" customWidth="1"/>
    <col min="9" max="9" width="11.25390625" style="0" customWidth="1"/>
  </cols>
  <sheetData>
    <row r="1" spans="1:4" ht="56.25" customHeight="1">
      <c r="A1" s="828" t="s">
        <v>559</v>
      </c>
      <c r="B1" s="828"/>
      <c r="C1" s="828"/>
      <c r="D1" s="828"/>
    </row>
    <row r="3" spans="1:5" ht="15">
      <c r="A3" s="661" t="s">
        <v>454</v>
      </c>
      <c r="B3" s="661"/>
      <c r="C3" s="661"/>
      <c r="D3" s="661"/>
      <c r="E3" s="661"/>
    </row>
    <row r="4" ht="19.5" customHeight="1" thickBot="1">
      <c r="A4" s="662" t="s">
        <v>451</v>
      </c>
    </row>
    <row r="5" spans="1:5" ht="19.5" customHeight="1" thickBot="1">
      <c r="A5" s="707" t="s">
        <v>56</v>
      </c>
      <c r="B5" s="708" t="s">
        <v>58</v>
      </c>
      <c r="C5" s="708" t="s">
        <v>306</v>
      </c>
      <c r="D5" s="708" t="s">
        <v>57</v>
      </c>
      <c r="E5" s="709" t="s">
        <v>464</v>
      </c>
    </row>
    <row r="6" spans="1:5" ht="13.5" thickBot="1">
      <c r="A6" s="686">
        <v>926</v>
      </c>
      <c r="B6" s="687"/>
      <c r="C6" s="687"/>
      <c r="D6" s="688" t="s">
        <v>193</v>
      </c>
      <c r="E6" s="710"/>
    </row>
    <row r="7" spans="1:5" ht="12.75">
      <c r="A7" s="651"/>
      <c r="B7" s="651">
        <v>92695</v>
      </c>
      <c r="C7" s="651"/>
      <c r="D7" s="702" t="s">
        <v>90</v>
      </c>
      <c r="E7" s="318"/>
    </row>
    <row r="8" spans="1:5" ht="60">
      <c r="A8" s="652"/>
      <c r="B8" s="652"/>
      <c r="C8" s="663">
        <v>750</v>
      </c>
      <c r="D8" s="277" t="s">
        <v>358</v>
      </c>
      <c r="E8" s="665">
        <v>12000</v>
      </c>
    </row>
    <row r="9" spans="1:5" ht="12.75">
      <c r="A9" s="278"/>
      <c r="B9" s="278"/>
      <c r="C9" s="664">
        <v>830</v>
      </c>
      <c r="D9" s="277" t="s">
        <v>360</v>
      </c>
      <c r="E9" s="33">
        <v>1370000</v>
      </c>
    </row>
    <row r="10" spans="1:5" ht="17.25" customHeight="1">
      <c r="A10" s="278"/>
      <c r="B10" s="278"/>
      <c r="C10" s="664">
        <v>920</v>
      </c>
      <c r="D10" s="278" t="s">
        <v>386</v>
      </c>
      <c r="E10" s="33">
        <v>2000</v>
      </c>
    </row>
    <row r="11" spans="1:5" ht="26.25" customHeight="1" thickBot="1">
      <c r="A11" s="206"/>
      <c r="B11" s="206"/>
      <c r="C11" s="673">
        <v>2650</v>
      </c>
      <c r="D11" s="674" t="s">
        <v>51</v>
      </c>
      <c r="E11" s="675">
        <v>580000</v>
      </c>
    </row>
    <row r="12" spans="1:5" ht="24" customHeight="1" thickTop="1">
      <c r="A12" s="669"/>
      <c r="B12" s="669"/>
      <c r="C12" s="670"/>
      <c r="D12" s="671" t="s">
        <v>453</v>
      </c>
      <c r="E12" s="672">
        <f>SUM(E8:E11)</f>
        <v>1964000</v>
      </c>
    </row>
    <row r="13" spans="1:5" ht="29.25" customHeight="1" thickBot="1">
      <c r="A13" s="676"/>
      <c r="B13" s="676"/>
      <c r="C13" s="676"/>
      <c r="D13" s="677" t="s">
        <v>452</v>
      </c>
      <c r="E13" s="293">
        <v>942</v>
      </c>
    </row>
    <row r="14" spans="1:5" ht="20.25" customHeight="1">
      <c r="A14" s="666"/>
      <c r="B14" s="666"/>
      <c r="C14" s="666"/>
      <c r="D14" s="667" t="s">
        <v>238</v>
      </c>
      <c r="E14" s="668">
        <f>SUM(E12:E13)</f>
        <v>1964942</v>
      </c>
    </row>
    <row r="15" ht="12.75">
      <c r="E15" s="300"/>
    </row>
    <row r="16" ht="18.75" customHeight="1" thickBot="1">
      <c r="A16" s="666" t="s">
        <v>455</v>
      </c>
    </row>
    <row r="17" spans="1:9" ht="13.5" customHeight="1">
      <c r="A17" s="905" t="s">
        <v>56</v>
      </c>
      <c r="B17" s="901" t="s">
        <v>58</v>
      </c>
      <c r="C17" s="901" t="s">
        <v>298</v>
      </c>
      <c r="D17" s="899" t="s">
        <v>57</v>
      </c>
      <c r="E17" s="903" t="s">
        <v>463</v>
      </c>
      <c r="F17" s="896" t="s">
        <v>199</v>
      </c>
      <c r="G17" s="897"/>
      <c r="H17" s="897"/>
      <c r="I17" s="898"/>
    </row>
    <row r="18" spans="1:9" ht="34.5" thickBot="1">
      <c r="A18" s="906"/>
      <c r="B18" s="902"/>
      <c r="C18" s="902"/>
      <c r="D18" s="900"/>
      <c r="E18" s="904"/>
      <c r="F18" s="692" t="s">
        <v>158</v>
      </c>
      <c r="G18" s="690" t="s">
        <v>154</v>
      </c>
      <c r="H18" s="690" t="s">
        <v>155</v>
      </c>
      <c r="I18" s="691" t="s">
        <v>462</v>
      </c>
    </row>
    <row r="19" spans="1:9" ht="15" customHeight="1" thickBot="1">
      <c r="A19" s="630">
        <v>926</v>
      </c>
      <c r="B19" s="449"/>
      <c r="C19" s="449"/>
      <c r="D19" s="681" t="s">
        <v>193</v>
      </c>
      <c r="E19" s="703"/>
      <c r="F19" s="704"/>
      <c r="G19" s="705"/>
      <c r="H19" s="705"/>
      <c r="I19" s="706"/>
    </row>
    <row r="20" spans="1:9" ht="12.75">
      <c r="A20" s="651"/>
      <c r="B20" s="651">
        <v>92695</v>
      </c>
      <c r="C20" s="651"/>
      <c r="D20" s="702" t="s">
        <v>90</v>
      </c>
      <c r="E20" s="696"/>
      <c r="F20" s="693"/>
      <c r="G20" s="689"/>
      <c r="H20" s="689"/>
      <c r="I20" s="689"/>
    </row>
    <row r="21" spans="1:9" ht="24.75" customHeight="1">
      <c r="A21" s="679"/>
      <c r="B21" s="679"/>
      <c r="C21" s="679">
        <v>2370</v>
      </c>
      <c r="D21" s="682" t="s">
        <v>459</v>
      </c>
      <c r="E21" s="697">
        <v>68277</v>
      </c>
      <c r="F21" s="694"/>
      <c r="G21" s="263"/>
      <c r="H21" s="263">
        <v>68277</v>
      </c>
      <c r="I21" s="263"/>
    </row>
    <row r="22" spans="1:9" ht="12.75">
      <c r="A22" s="679"/>
      <c r="B22" s="679"/>
      <c r="C22" s="679">
        <v>3020</v>
      </c>
      <c r="D22" s="683" t="s">
        <v>401</v>
      </c>
      <c r="E22" s="697">
        <v>4000</v>
      </c>
      <c r="F22" s="694"/>
      <c r="G22" s="263">
        <v>4000</v>
      </c>
      <c r="H22" s="263"/>
      <c r="I22" s="263"/>
    </row>
    <row r="23" spans="1:9" ht="12.75">
      <c r="A23" s="679"/>
      <c r="B23" s="679"/>
      <c r="C23" s="679">
        <v>4010</v>
      </c>
      <c r="D23" s="683" t="s">
        <v>395</v>
      </c>
      <c r="E23" s="697">
        <v>590000</v>
      </c>
      <c r="F23" s="695">
        <v>590000</v>
      </c>
      <c r="G23" s="263"/>
      <c r="H23" s="263"/>
      <c r="I23" s="263"/>
    </row>
    <row r="24" spans="1:9" ht="12.75">
      <c r="A24" s="679"/>
      <c r="B24" s="679"/>
      <c r="C24" s="679">
        <v>4040</v>
      </c>
      <c r="D24" s="683" t="s">
        <v>399</v>
      </c>
      <c r="E24" s="697">
        <v>50000</v>
      </c>
      <c r="F24" s="695">
        <v>50000</v>
      </c>
      <c r="G24" s="263"/>
      <c r="H24" s="263"/>
      <c r="I24" s="263"/>
    </row>
    <row r="25" spans="1:9" ht="12.75">
      <c r="A25" s="679"/>
      <c r="B25" s="679"/>
      <c r="C25" s="679">
        <v>4110</v>
      </c>
      <c r="D25" s="684" t="s">
        <v>396</v>
      </c>
      <c r="E25" s="697">
        <v>100000</v>
      </c>
      <c r="F25" s="695">
        <v>100000</v>
      </c>
      <c r="G25" s="263"/>
      <c r="H25" s="263"/>
      <c r="I25" s="263"/>
    </row>
    <row r="26" spans="1:9" ht="12.75">
      <c r="A26" s="679"/>
      <c r="B26" s="679"/>
      <c r="C26" s="679">
        <v>4120</v>
      </c>
      <c r="D26" s="684" t="s">
        <v>397</v>
      </c>
      <c r="E26" s="697">
        <v>16000</v>
      </c>
      <c r="F26" s="695">
        <v>16000</v>
      </c>
      <c r="G26" s="263"/>
      <c r="H26" s="263"/>
      <c r="I26" s="263"/>
    </row>
    <row r="27" spans="1:9" ht="12.75">
      <c r="A27" s="679"/>
      <c r="B27" s="679"/>
      <c r="C27" s="679">
        <v>4170</v>
      </c>
      <c r="D27" s="683" t="s">
        <v>402</v>
      </c>
      <c r="E27" s="697">
        <v>180000</v>
      </c>
      <c r="F27" s="695">
        <v>180000</v>
      </c>
      <c r="G27" s="263"/>
      <c r="H27" s="263"/>
      <c r="I27" s="263"/>
    </row>
    <row r="28" spans="1:9" ht="12.75">
      <c r="A28" s="679"/>
      <c r="B28" s="679"/>
      <c r="C28" s="679">
        <v>4210</v>
      </c>
      <c r="D28" s="684" t="s">
        <v>308</v>
      </c>
      <c r="E28" s="697">
        <v>92000</v>
      </c>
      <c r="F28" s="694"/>
      <c r="G28" s="263"/>
      <c r="H28" s="263"/>
      <c r="I28" s="680">
        <v>92000</v>
      </c>
    </row>
    <row r="29" spans="1:9" ht="12.75">
      <c r="A29" s="679"/>
      <c r="B29" s="679"/>
      <c r="C29" s="679">
        <v>4260</v>
      </c>
      <c r="D29" s="684" t="s">
        <v>408</v>
      </c>
      <c r="E29" s="697">
        <v>630000</v>
      </c>
      <c r="F29" s="694"/>
      <c r="G29" s="263"/>
      <c r="H29" s="263"/>
      <c r="I29" s="680">
        <v>630000</v>
      </c>
    </row>
    <row r="30" spans="1:9" ht="12.75">
      <c r="A30" s="679"/>
      <c r="B30" s="679"/>
      <c r="C30" s="679">
        <v>4270</v>
      </c>
      <c r="D30" s="684" t="s">
        <v>299</v>
      </c>
      <c r="E30" s="697">
        <v>80000</v>
      </c>
      <c r="F30" s="694"/>
      <c r="G30" s="263"/>
      <c r="H30" s="263"/>
      <c r="I30" s="680">
        <v>80000</v>
      </c>
    </row>
    <row r="31" spans="1:9" ht="12.75">
      <c r="A31" s="679"/>
      <c r="B31" s="679"/>
      <c r="C31" s="679">
        <v>4280</v>
      </c>
      <c r="D31" s="684" t="s">
        <v>414</v>
      </c>
      <c r="E31" s="697">
        <v>1000</v>
      </c>
      <c r="F31" s="694"/>
      <c r="G31" s="263"/>
      <c r="H31" s="263"/>
      <c r="I31" s="680">
        <v>1000</v>
      </c>
    </row>
    <row r="32" spans="1:9" ht="12.75">
      <c r="A32" s="679"/>
      <c r="B32" s="679"/>
      <c r="C32" s="679">
        <v>4300</v>
      </c>
      <c r="D32" s="684" t="s">
        <v>318</v>
      </c>
      <c r="E32" s="697">
        <v>100000</v>
      </c>
      <c r="F32" s="694"/>
      <c r="G32" s="263"/>
      <c r="H32" s="263"/>
      <c r="I32" s="680">
        <v>100000</v>
      </c>
    </row>
    <row r="33" spans="1:9" ht="12.75">
      <c r="A33" s="679"/>
      <c r="B33" s="679"/>
      <c r="C33" s="679">
        <v>4350</v>
      </c>
      <c r="D33" s="684" t="s">
        <v>415</v>
      </c>
      <c r="E33" s="697">
        <v>700</v>
      </c>
      <c r="F33" s="694"/>
      <c r="G33" s="263"/>
      <c r="H33" s="263"/>
      <c r="I33" s="680">
        <v>700</v>
      </c>
    </row>
    <row r="34" spans="1:9" ht="22.5">
      <c r="A34" s="679"/>
      <c r="B34" s="679"/>
      <c r="C34" s="679">
        <v>4370</v>
      </c>
      <c r="D34" s="683" t="s">
        <v>429</v>
      </c>
      <c r="E34" s="697">
        <v>5000</v>
      </c>
      <c r="F34" s="694"/>
      <c r="G34" s="263"/>
      <c r="H34" s="263"/>
      <c r="I34" s="680">
        <v>5000</v>
      </c>
    </row>
    <row r="35" spans="1:9" ht="22.5" customHeight="1">
      <c r="A35" s="679"/>
      <c r="B35" s="679"/>
      <c r="C35" s="679">
        <v>4390</v>
      </c>
      <c r="D35" s="682" t="s">
        <v>460</v>
      </c>
      <c r="E35" s="697">
        <v>10000</v>
      </c>
      <c r="F35" s="694"/>
      <c r="G35" s="263"/>
      <c r="H35" s="263"/>
      <c r="I35" s="680">
        <v>10000</v>
      </c>
    </row>
    <row r="36" spans="1:9" ht="12.75">
      <c r="A36" s="679"/>
      <c r="B36" s="679"/>
      <c r="C36" s="679">
        <v>4410</v>
      </c>
      <c r="D36" s="683" t="s">
        <v>404</v>
      </c>
      <c r="E36" s="697">
        <v>8000</v>
      </c>
      <c r="F36" s="694"/>
      <c r="G36" s="263"/>
      <c r="H36" s="263"/>
      <c r="I36" s="680">
        <v>8000</v>
      </c>
    </row>
    <row r="37" spans="1:9" ht="12.75">
      <c r="A37" s="679"/>
      <c r="B37" s="679"/>
      <c r="C37" s="679">
        <v>4440</v>
      </c>
      <c r="D37" s="683" t="s">
        <v>416</v>
      </c>
      <c r="E37" s="697">
        <v>22000</v>
      </c>
      <c r="F37" s="694"/>
      <c r="G37" s="263"/>
      <c r="H37" s="263"/>
      <c r="I37" s="680">
        <v>22000</v>
      </c>
    </row>
    <row r="38" spans="1:9" ht="22.5">
      <c r="A38" s="679"/>
      <c r="B38" s="679"/>
      <c r="C38" s="679">
        <v>4520</v>
      </c>
      <c r="D38" s="682" t="s">
        <v>461</v>
      </c>
      <c r="E38" s="697">
        <v>350</v>
      </c>
      <c r="F38" s="694"/>
      <c r="G38" s="263"/>
      <c r="H38" s="263"/>
      <c r="I38" s="680">
        <v>350</v>
      </c>
    </row>
    <row r="39" spans="1:9" ht="12.75">
      <c r="A39" s="679"/>
      <c r="B39" s="679"/>
      <c r="C39" s="679">
        <v>4530</v>
      </c>
      <c r="D39" s="685" t="s">
        <v>434</v>
      </c>
      <c r="E39" s="697">
        <v>3000</v>
      </c>
      <c r="F39" s="694"/>
      <c r="G39" s="263"/>
      <c r="H39" s="263"/>
      <c r="I39" s="680">
        <v>3000</v>
      </c>
    </row>
    <row r="40" spans="1:9" ht="20.25" customHeight="1">
      <c r="A40" s="699"/>
      <c r="B40" s="699"/>
      <c r="C40" s="699"/>
      <c r="D40" s="700" t="s">
        <v>456</v>
      </c>
      <c r="E40" s="701">
        <f>SUM(E21:E39)</f>
        <v>1960327</v>
      </c>
      <c r="F40" s="701">
        <f>SUM(F21:F39)</f>
        <v>936000</v>
      </c>
      <c r="G40" s="701">
        <f>SUM(G21:G39)</f>
        <v>4000</v>
      </c>
      <c r="H40" s="701">
        <f>SUM(H21:H39)</f>
        <v>68277</v>
      </c>
      <c r="I40" s="701">
        <f>SUM(I21:I39)</f>
        <v>952050</v>
      </c>
    </row>
    <row r="41" spans="1:9" ht="24.75" thickBot="1">
      <c r="A41" s="678"/>
      <c r="B41" s="678"/>
      <c r="C41" s="678"/>
      <c r="D41" s="711" t="s">
        <v>457</v>
      </c>
      <c r="E41" s="698">
        <v>4615</v>
      </c>
      <c r="F41" s="712"/>
      <c r="G41" s="624"/>
      <c r="H41" s="624"/>
      <c r="I41" s="624"/>
    </row>
    <row r="42" spans="1:9" ht="29.25" customHeight="1" thickBot="1">
      <c r="A42" s="678"/>
      <c r="B42" s="678"/>
      <c r="C42" s="678"/>
      <c r="D42" s="713" t="s">
        <v>458</v>
      </c>
      <c r="E42" s="714">
        <f>SUM(E40:E41)</f>
        <v>1964942</v>
      </c>
      <c r="F42" s="693"/>
      <c r="G42" s="689"/>
      <c r="H42" s="689"/>
      <c r="I42" s="689"/>
    </row>
    <row r="43" spans="1:5" ht="12.75">
      <c r="A43" s="678"/>
      <c r="B43" s="678"/>
      <c r="C43" s="678"/>
      <c r="D43" s="678"/>
      <c r="E43" s="678"/>
    </row>
    <row r="44" spans="1:5" ht="12.75">
      <c r="A44" s="678"/>
      <c r="B44" s="678"/>
      <c r="C44" s="678"/>
      <c r="D44" s="678"/>
      <c r="E44" s="678"/>
    </row>
    <row r="45" spans="1:5" ht="12.75">
      <c r="A45" s="678"/>
      <c r="B45" s="678"/>
      <c r="C45" s="678"/>
      <c r="D45" s="678"/>
      <c r="E45" s="678"/>
    </row>
    <row r="46" spans="1:5" ht="12.75">
      <c r="A46" s="678"/>
      <c r="B46" s="678"/>
      <c r="C46" s="678"/>
      <c r="D46" s="678"/>
      <c r="E46" s="678"/>
    </row>
    <row r="47" spans="1:5" ht="12.75">
      <c r="A47" s="678"/>
      <c r="B47" s="678"/>
      <c r="C47" s="678"/>
      <c r="D47" s="678"/>
      <c r="E47" s="678"/>
    </row>
    <row r="48" spans="1:7" ht="12.75">
      <c r="A48" s="678"/>
      <c r="B48" s="678"/>
      <c r="C48" s="678"/>
      <c r="D48" s="678"/>
      <c r="E48" s="678"/>
      <c r="G48" t="s">
        <v>60</v>
      </c>
    </row>
    <row r="49" spans="1:5" ht="12.75">
      <c r="A49" s="678"/>
      <c r="B49" s="678"/>
      <c r="C49" s="678"/>
      <c r="D49" s="678"/>
      <c r="E49" s="678"/>
    </row>
    <row r="50" spans="1:5" ht="12.75">
      <c r="A50" s="678"/>
      <c r="B50" s="678"/>
      <c r="C50" s="678"/>
      <c r="D50" s="678"/>
      <c r="E50" s="678"/>
    </row>
    <row r="51" spans="1:5" ht="12.75">
      <c r="A51" s="678"/>
      <c r="B51" s="678"/>
      <c r="C51" s="678"/>
      <c r="D51" s="678"/>
      <c r="E51" s="678"/>
    </row>
    <row r="52" spans="1:5" ht="12.75">
      <c r="A52" s="678"/>
      <c r="B52" s="678"/>
      <c r="C52" s="678"/>
      <c r="D52" s="678"/>
      <c r="E52" s="678"/>
    </row>
    <row r="53" spans="1:5" ht="12.75">
      <c r="A53" s="678"/>
      <c r="B53" s="678"/>
      <c r="C53" s="678"/>
      <c r="D53" s="678"/>
      <c r="E53" s="678"/>
    </row>
    <row r="54" spans="1:5" ht="12.75">
      <c r="A54" s="678"/>
      <c r="B54" s="678"/>
      <c r="C54" s="678"/>
      <c r="D54" s="678"/>
      <c r="E54" s="678"/>
    </row>
    <row r="55" spans="1:5" ht="12.75">
      <c r="A55" s="678"/>
      <c r="B55" s="678"/>
      <c r="C55" s="678"/>
      <c r="D55" s="678"/>
      <c r="E55" s="678"/>
    </row>
    <row r="56" spans="1:5" ht="12.75">
      <c r="A56" s="678"/>
      <c r="B56" s="678"/>
      <c r="C56" s="678"/>
      <c r="D56" s="678"/>
      <c r="E56" s="678"/>
    </row>
  </sheetData>
  <sheetProtection/>
  <mergeCells count="7">
    <mergeCell ref="F17:I17"/>
    <mergeCell ref="D17:D18"/>
    <mergeCell ref="C17:C18"/>
    <mergeCell ref="A1:D1"/>
    <mergeCell ref="E17:E18"/>
    <mergeCell ref="B17:B18"/>
    <mergeCell ref="A17:A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4.75390625" style="0" customWidth="1"/>
    <col min="2" max="2" width="5.875" style="0" customWidth="1"/>
    <col min="3" max="3" width="5.00390625" style="0" customWidth="1"/>
    <col min="4" max="4" width="41.25390625" style="0" customWidth="1"/>
    <col min="5" max="5" width="13.625" style="0" customWidth="1"/>
  </cols>
  <sheetData>
    <row r="1" spans="1:5" ht="56.25" customHeight="1">
      <c r="A1" s="828" t="s">
        <v>560</v>
      </c>
      <c r="B1" s="828"/>
      <c r="C1" s="828"/>
      <c r="D1" s="828"/>
      <c r="E1" s="828"/>
    </row>
    <row r="3" spans="1:5" ht="29.25" customHeight="1" thickBot="1">
      <c r="A3" s="907" t="s">
        <v>445</v>
      </c>
      <c r="B3" s="907"/>
      <c r="C3" s="907"/>
      <c r="D3" s="907"/>
      <c r="E3" s="907"/>
    </row>
    <row r="4" spans="1:5" ht="24.75" thickBot="1">
      <c r="A4" s="630" t="s">
        <v>197</v>
      </c>
      <c r="B4" s="449" t="s">
        <v>58</v>
      </c>
      <c r="C4" s="449" t="s">
        <v>298</v>
      </c>
      <c r="D4" s="631" t="s">
        <v>57</v>
      </c>
      <c r="E4" s="631" t="s">
        <v>446</v>
      </c>
    </row>
    <row r="5" spans="1:5" ht="13.5" thickBot="1">
      <c r="A5" s="632">
        <v>750</v>
      </c>
      <c r="B5" s="633"/>
      <c r="C5" s="633"/>
      <c r="D5" s="634" t="s">
        <v>447</v>
      </c>
      <c r="E5" s="653">
        <f>SUM(E6)</f>
        <v>500</v>
      </c>
    </row>
    <row r="6" spans="1:5" ht="12.75">
      <c r="A6" s="635"/>
      <c r="B6" s="636">
        <v>75011</v>
      </c>
      <c r="C6" s="637"/>
      <c r="D6" s="638" t="s">
        <v>165</v>
      </c>
      <c r="E6" s="654">
        <f>SUM(E7:E7)</f>
        <v>500</v>
      </c>
    </row>
    <row r="7" spans="1:5" ht="28.5" customHeight="1" thickBot="1">
      <c r="A7" s="639"/>
      <c r="B7" s="639"/>
      <c r="C7" s="640">
        <v>830</v>
      </c>
      <c r="D7" s="641" t="s">
        <v>448</v>
      </c>
      <c r="E7" s="639">
        <v>500</v>
      </c>
    </row>
    <row r="8" spans="1:5" ht="18" customHeight="1" thickBot="1">
      <c r="A8" s="642">
        <v>852</v>
      </c>
      <c r="B8" s="449"/>
      <c r="C8" s="284"/>
      <c r="D8" s="449" t="s">
        <v>449</v>
      </c>
      <c r="E8" s="653">
        <f>SUM(E9+E11)</f>
        <v>104000</v>
      </c>
    </row>
    <row r="9" spans="1:5" ht="12.75">
      <c r="A9" s="658"/>
      <c r="B9" s="659">
        <v>85203</v>
      </c>
      <c r="C9" s="652"/>
      <c r="D9" s="651" t="s">
        <v>120</v>
      </c>
      <c r="E9" s="655">
        <f>SUM(E10)</f>
        <v>2000</v>
      </c>
    </row>
    <row r="10" spans="1:5" ht="16.5" customHeight="1">
      <c r="A10" s="650"/>
      <c r="B10" s="651"/>
      <c r="C10" s="645">
        <v>970</v>
      </c>
      <c r="D10" s="278" t="s">
        <v>363</v>
      </c>
      <c r="E10" s="656">
        <v>2000</v>
      </c>
    </row>
    <row r="11" spans="1:5" ht="51" customHeight="1">
      <c r="A11" s="643"/>
      <c r="B11" s="643">
        <v>85212</v>
      </c>
      <c r="C11" s="278"/>
      <c r="D11" s="644" t="s">
        <v>411</v>
      </c>
      <c r="E11" s="657">
        <f>SUM(E12:E13)</f>
        <v>102000</v>
      </c>
    </row>
    <row r="12" spans="1:5" ht="18" customHeight="1">
      <c r="A12" s="278"/>
      <c r="B12" s="278"/>
      <c r="C12" s="645">
        <v>970</v>
      </c>
      <c r="D12" s="278" t="s">
        <v>363</v>
      </c>
      <c r="E12" s="646">
        <v>8000</v>
      </c>
    </row>
    <row r="13" spans="1:5" ht="24.75" customHeight="1" thickBot="1">
      <c r="A13" s="278"/>
      <c r="B13" s="278"/>
      <c r="C13" s="645">
        <v>980</v>
      </c>
      <c r="D13" s="647" t="s">
        <v>450</v>
      </c>
      <c r="E13" s="660">
        <v>94000</v>
      </c>
    </row>
    <row r="14" spans="1:5" ht="18" customHeight="1" thickBot="1">
      <c r="A14" s="23"/>
      <c r="B14" s="23"/>
      <c r="C14" s="23"/>
      <c r="D14" s="648" t="s">
        <v>63</v>
      </c>
      <c r="E14" s="649">
        <f>SUM(E5+E8)</f>
        <v>104500</v>
      </c>
    </row>
    <row r="15" ht="12.75">
      <c r="I15" t="s">
        <v>60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43">
      <selection activeCell="I69" sqref="I69"/>
    </sheetView>
  </sheetViews>
  <sheetFormatPr defaultColWidth="9.00390625" defaultRowHeight="12.75"/>
  <cols>
    <col min="1" max="1" width="3.25390625" style="0" customWidth="1"/>
    <col min="2" max="2" width="18.25390625" style="0" customWidth="1"/>
    <col min="3" max="3" width="7.75390625" style="0" customWidth="1"/>
    <col min="4" max="4" width="8.125" style="0" customWidth="1"/>
    <col min="5" max="5" width="9.375" style="0" customWidth="1"/>
    <col min="6" max="6" width="9.625" style="0" customWidth="1"/>
    <col min="7" max="7" width="9.75390625" style="0" customWidth="1"/>
    <col min="8" max="8" width="9.25390625" style="0" customWidth="1"/>
    <col min="9" max="9" width="8.75390625" style="0" customWidth="1"/>
    <col min="10" max="10" width="7.375" style="0" customWidth="1"/>
    <col min="11" max="11" width="7.00390625" style="0" customWidth="1"/>
    <col min="12" max="12" width="9.00390625" style="0" customWidth="1"/>
    <col min="13" max="13" width="9.625" style="0" customWidth="1"/>
    <col min="14" max="14" width="8.625" style="0" customWidth="1"/>
    <col min="15" max="15" width="7.625" style="0" customWidth="1"/>
    <col min="16" max="16" width="7.00390625" style="0" customWidth="1"/>
    <col min="17" max="17" width="9.25390625" style="0" customWidth="1"/>
  </cols>
  <sheetData>
    <row r="1" spans="1:17" ht="55.5" customHeight="1">
      <c r="A1" s="828" t="s">
        <v>561</v>
      </c>
      <c r="B1" s="893"/>
      <c r="C1" s="893"/>
      <c r="D1" s="89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910" t="s">
        <v>279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</row>
    <row r="3" spans="1:17" ht="15.75">
      <c r="A3" s="910" t="s">
        <v>278</v>
      </c>
      <c r="B3" s="910"/>
      <c r="C3" s="910"/>
      <c r="D3" s="910"/>
      <c r="E3" s="910"/>
      <c r="F3" s="910"/>
      <c r="G3" s="910"/>
      <c r="H3" s="910"/>
      <c r="I3" s="910"/>
      <c r="J3" s="910"/>
      <c r="K3" s="910"/>
      <c r="L3" s="910"/>
      <c r="M3" s="910"/>
      <c r="N3" s="910"/>
      <c r="O3" s="910"/>
      <c r="P3" s="910"/>
      <c r="Q3" s="910"/>
    </row>
    <row r="4" spans="1:17" ht="12.7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17" ht="12.75">
      <c r="A5" s="908" t="s">
        <v>65</v>
      </c>
      <c r="B5" s="908" t="s">
        <v>248</v>
      </c>
      <c r="C5" s="909" t="s">
        <v>249</v>
      </c>
      <c r="D5" s="908" t="s">
        <v>250</v>
      </c>
      <c r="E5" s="908" t="s">
        <v>251</v>
      </c>
      <c r="F5" s="908" t="s">
        <v>93</v>
      </c>
      <c r="G5" s="908"/>
      <c r="H5" s="908" t="s">
        <v>222</v>
      </c>
      <c r="I5" s="908"/>
      <c r="J5" s="908"/>
      <c r="K5" s="908"/>
      <c r="L5" s="908"/>
      <c r="M5" s="908"/>
      <c r="N5" s="908"/>
      <c r="O5" s="908"/>
      <c r="P5" s="908"/>
      <c r="Q5" s="908"/>
    </row>
    <row r="6" spans="1:17" ht="12.75">
      <c r="A6" s="908"/>
      <c r="B6" s="908"/>
      <c r="C6" s="909"/>
      <c r="D6" s="908"/>
      <c r="E6" s="908"/>
      <c r="F6" s="908" t="s">
        <v>252</v>
      </c>
      <c r="G6" s="908" t="s">
        <v>253</v>
      </c>
      <c r="H6" s="908" t="s">
        <v>522</v>
      </c>
      <c r="I6" s="908"/>
      <c r="J6" s="908"/>
      <c r="K6" s="908"/>
      <c r="L6" s="908"/>
      <c r="M6" s="908"/>
      <c r="N6" s="908"/>
      <c r="O6" s="908"/>
      <c r="P6" s="908"/>
      <c r="Q6" s="908"/>
    </row>
    <row r="7" spans="1:17" ht="12.75">
      <c r="A7" s="908"/>
      <c r="B7" s="908"/>
      <c r="C7" s="909"/>
      <c r="D7" s="908"/>
      <c r="E7" s="908"/>
      <c r="F7" s="908"/>
      <c r="G7" s="908"/>
      <c r="H7" s="908" t="s">
        <v>254</v>
      </c>
      <c r="I7" s="908" t="s">
        <v>255</v>
      </c>
      <c r="J7" s="908"/>
      <c r="K7" s="908"/>
      <c r="L7" s="908"/>
      <c r="M7" s="908"/>
      <c r="N7" s="908"/>
      <c r="O7" s="908"/>
      <c r="P7" s="908"/>
      <c r="Q7" s="908"/>
    </row>
    <row r="8" spans="1:17" ht="12.75">
      <c r="A8" s="908"/>
      <c r="B8" s="908"/>
      <c r="C8" s="909"/>
      <c r="D8" s="908"/>
      <c r="E8" s="908"/>
      <c r="F8" s="908"/>
      <c r="G8" s="908"/>
      <c r="H8" s="908"/>
      <c r="I8" s="909" t="s">
        <v>256</v>
      </c>
      <c r="J8" s="909"/>
      <c r="K8" s="909"/>
      <c r="L8" s="909"/>
      <c r="M8" s="909" t="s">
        <v>257</v>
      </c>
      <c r="N8" s="909"/>
      <c r="O8" s="909"/>
      <c r="P8" s="909"/>
      <c r="Q8" s="909"/>
    </row>
    <row r="9" spans="1:17" ht="12.75">
      <c r="A9" s="908"/>
      <c r="B9" s="908"/>
      <c r="C9" s="909"/>
      <c r="D9" s="908"/>
      <c r="E9" s="908"/>
      <c r="F9" s="908"/>
      <c r="G9" s="908"/>
      <c r="H9" s="908"/>
      <c r="I9" s="909" t="s">
        <v>258</v>
      </c>
      <c r="J9" s="909" t="s">
        <v>259</v>
      </c>
      <c r="K9" s="909"/>
      <c r="L9" s="909"/>
      <c r="M9" s="909" t="s">
        <v>258</v>
      </c>
      <c r="N9" s="909" t="s">
        <v>259</v>
      </c>
      <c r="O9" s="909"/>
      <c r="P9" s="909"/>
      <c r="Q9" s="909"/>
    </row>
    <row r="10" spans="1:17" ht="48.75">
      <c r="A10" s="908"/>
      <c r="B10" s="908"/>
      <c r="C10" s="909"/>
      <c r="D10" s="908"/>
      <c r="E10" s="908"/>
      <c r="F10" s="908"/>
      <c r="G10" s="908"/>
      <c r="H10" s="908"/>
      <c r="I10" s="909"/>
      <c r="J10" s="127" t="s">
        <v>260</v>
      </c>
      <c r="K10" s="127" t="s">
        <v>261</v>
      </c>
      <c r="L10" s="127" t="s">
        <v>262</v>
      </c>
      <c r="M10" s="909"/>
      <c r="N10" s="126" t="s">
        <v>263</v>
      </c>
      <c r="O10" s="126" t="s">
        <v>260</v>
      </c>
      <c r="P10" s="126" t="s">
        <v>261</v>
      </c>
      <c r="Q10" s="127" t="s">
        <v>264</v>
      </c>
    </row>
    <row r="11" spans="1:17" ht="12.75">
      <c r="A11" s="128"/>
      <c r="B11" s="128"/>
      <c r="C11" s="128"/>
      <c r="D11" s="128"/>
      <c r="E11" s="128" t="s">
        <v>265</v>
      </c>
      <c r="F11" s="128"/>
      <c r="G11" s="129"/>
      <c r="H11" s="129" t="s">
        <v>266</v>
      </c>
      <c r="I11" s="128" t="s">
        <v>267</v>
      </c>
      <c r="J11" s="128"/>
      <c r="K11" s="128"/>
      <c r="L11" s="128"/>
      <c r="M11" s="128" t="s">
        <v>268</v>
      </c>
      <c r="N11" s="128"/>
      <c r="O11" s="128"/>
      <c r="P11" s="128"/>
      <c r="Q11" s="128"/>
    </row>
    <row r="12" spans="1:17" ht="13.5" thickBot="1">
      <c r="A12" s="179">
        <v>1</v>
      </c>
      <c r="B12" s="179">
        <v>2</v>
      </c>
      <c r="C12" s="174">
        <v>3</v>
      </c>
      <c r="D12" s="174">
        <v>4</v>
      </c>
      <c r="E12" s="174">
        <v>5</v>
      </c>
      <c r="F12" s="174">
        <v>6</v>
      </c>
      <c r="G12" s="179">
        <v>7</v>
      </c>
      <c r="H12" s="179">
        <v>8</v>
      </c>
      <c r="I12" s="179">
        <v>9</v>
      </c>
      <c r="J12" s="174">
        <v>10</v>
      </c>
      <c r="K12" s="174">
        <v>11</v>
      </c>
      <c r="L12" s="179">
        <v>12</v>
      </c>
      <c r="M12" s="179">
        <v>13</v>
      </c>
      <c r="N12" s="179">
        <v>14</v>
      </c>
      <c r="O12" s="174">
        <v>15</v>
      </c>
      <c r="P12" s="174">
        <v>16</v>
      </c>
      <c r="Q12" s="179">
        <v>17</v>
      </c>
    </row>
    <row r="13" spans="1:17" ht="13.5" thickTop="1">
      <c r="A13" s="175" t="s">
        <v>269</v>
      </c>
      <c r="B13" s="173" t="s">
        <v>270</v>
      </c>
      <c r="C13" s="911" t="s">
        <v>239</v>
      </c>
      <c r="D13" s="912"/>
      <c r="E13" s="176">
        <f>SUM(+E18+E27+E37+E45+E51)</f>
        <v>53045346.79</v>
      </c>
      <c r="F13" s="176">
        <f>SUM(+F18+F27+F37+F45+F51)</f>
        <v>13142721.18</v>
      </c>
      <c r="G13" s="176">
        <f>SUM(+G18+G27+G37+G45+G51)</f>
        <v>39902625.61</v>
      </c>
      <c r="H13" s="176">
        <f>SUM(+H18+H27+H37+H45+H51)</f>
        <v>19421590.119999997</v>
      </c>
      <c r="I13" s="176">
        <f>SUM(J13:L13)</f>
        <v>5661255.27</v>
      </c>
      <c r="J13" s="176"/>
      <c r="K13" s="177"/>
      <c r="L13" s="176">
        <f>SUM(+L18+L27+L37+L45+L51)</f>
        <v>5661255.27</v>
      </c>
      <c r="M13" s="176">
        <f>SUM(N13:Q13)</f>
        <v>13760334.85</v>
      </c>
      <c r="N13" s="178"/>
      <c r="O13" s="176"/>
      <c r="P13" s="177"/>
      <c r="Q13" s="176">
        <f>SUM(+Q18+Q27+Q37+Q45+Q51)</f>
        <v>13760334.85</v>
      </c>
    </row>
    <row r="14" spans="1:17" ht="12.75">
      <c r="A14" s="913" t="s">
        <v>290</v>
      </c>
      <c r="B14" s="131" t="s">
        <v>281</v>
      </c>
      <c r="C14" s="134" t="s">
        <v>280</v>
      </c>
      <c r="D14" s="134"/>
      <c r="E14" s="134"/>
      <c r="F14" s="134"/>
      <c r="G14" s="134"/>
      <c r="H14" s="134"/>
      <c r="I14" s="135"/>
      <c r="J14" s="136"/>
      <c r="K14" s="136"/>
      <c r="L14" s="136"/>
      <c r="M14" s="136"/>
      <c r="N14" s="136"/>
      <c r="O14" s="136"/>
      <c r="P14" s="136"/>
      <c r="Q14" s="137"/>
    </row>
    <row r="15" spans="1:17" ht="12.75">
      <c r="A15" s="914"/>
      <c r="B15" s="138" t="s">
        <v>283</v>
      </c>
      <c r="C15" s="916" t="s">
        <v>282</v>
      </c>
      <c r="D15" s="916"/>
      <c r="E15" s="916"/>
      <c r="F15" s="916"/>
      <c r="G15" s="140"/>
      <c r="H15" s="140"/>
      <c r="I15" s="140"/>
      <c r="J15" s="140" t="s">
        <v>60</v>
      </c>
      <c r="K15" s="140" t="s">
        <v>60</v>
      </c>
      <c r="L15" s="140"/>
      <c r="M15" s="140"/>
      <c r="N15" s="140"/>
      <c r="O15" s="140"/>
      <c r="P15" s="140"/>
      <c r="Q15" s="141"/>
    </row>
    <row r="16" spans="1:17" ht="12.75">
      <c r="A16" s="914"/>
      <c r="B16" s="138" t="s">
        <v>295</v>
      </c>
      <c r="C16" s="916" t="s">
        <v>284</v>
      </c>
      <c r="D16" s="916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 t="s">
        <v>60</v>
      </c>
      <c r="P16" s="140"/>
      <c r="Q16" s="141"/>
    </row>
    <row r="17" spans="1:17" ht="12.75">
      <c r="A17" s="914"/>
      <c r="B17" s="138" t="s">
        <v>285</v>
      </c>
      <c r="C17" s="917" t="s">
        <v>316</v>
      </c>
      <c r="D17" s="918"/>
      <c r="E17" s="918"/>
      <c r="F17" s="918"/>
      <c r="G17" s="918"/>
      <c r="H17" s="918"/>
      <c r="I17" s="918"/>
      <c r="J17" s="918"/>
      <c r="K17" s="918"/>
      <c r="L17" s="918"/>
      <c r="M17" s="918"/>
      <c r="N17" s="918"/>
      <c r="O17" s="142"/>
      <c r="P17" s="142"/>
      <c r="Q17" s="143"/>
    </row>
    <row r="18" spans="1:17" ht="18">
      <c r="A18" s="914"/>
      <c r="B18" s="144"/>
      <c r="C18" s="145"/>
      <c r="D18" s="146" t="s">
        <v>271</v>
      </c>
      <c r="E18" s="133">
        <f>SUM(E19:E22)</f>
        <v>8593704.36</v>
      </c>
      <c r="F18" s="133">
        <f>SUM(F19:F22)</f>
        <v>2148426.09</v>
      </c>
      <c r="G18" s="133">
        <f>SUM(G19:G22)</f>
        <v>6445278.27</v>
      </c>
      <c r="H18" s="133">
        <f>SUM(M18+I18)</f>
        <v>2927208.19</v>
      </c>
      <c r="I18" s="133">
        <f>SUM(I20:I22)</f>
        <v>731802.0299999999</v>
      </c>
      <c r="J18" s="133" t="s">
        <v>60</v>
      </c>
      <c r="K18" s="133"/>
      <c r="L18" s="133">
        <f>SUM(L22)</f>
        <v>731802.0299999999</v>
      </c>
      <c r="M18" s="133">
        <f>SUM(N18:Q18)</f>
        <v>2195406.16</v>
      </c>
      <c r="N18" s="147"/>
      <c r="O18" s="147"/>
      <c r="P18" s="147"/>
      <c r="Q18" s="147">
        <f>SUM(Q20:Q22)</f>
        <v>2195406.16</v>
      </c>
    </row>
    <row r="19" spans="1:17" ht="12.75">
      <c r="A19" s="914"/>
      <c r="B19" s="148" t="s">
        <v>272</v>
      </c>
      <c r="C19" s="149"/>
      <c r="D19" s="150"/>
      <c r="E19" s="151">
        <f>SUM(F19:G19)</f>
        <v>236354</v>
      </c>
      <c r="F19" s="151">
        <v>59088.5</v>
      </c>
      <c r="G19" s="151">
        <v>177265.5</v>
      </c>
      <c r="H19" s="151"/>
      <c r="I19" s="151"/>
      <c r="J19" s="151"/>
      <c r="K19" s="151"/>
      <c r="L19" s="151"/>
      <c r="M19" s="151"/>
      <c r="N19" s="152"/>
      <c r="O19" s="152"/>
      <c r="P19" s="152"/>
      <c r="Q19" s="152"/>
    </row>
    <row r="20" spans="1:17" ht="12.75">
      <c r="A20" s="914"/>
      <c r="B20" s="148">
        <v>2009</v>
      </c>
      <c r="C20" s="149"/>
      <c r="D20" s="130"/>
      <c r="E20" s="153">
        <f>SUM(F20:G20)</f>
        <v>748192.04</v>
      </c>
      <c r="F20" s="153">
        <v>187048.02</v>
      </c>
      <c r="G20" s="153">
        <v>561144.02</v>
      </c>
      <c r="H20" s="151"/>
      <c r="I20" s="151">
        <f>SUM(J20:L20)</f>
        <v>0</v>
      </c>
      <c r="J20" s="151"/>
      <c r="K20" s="151"/>
      <c r="L20" s="151"/>
      <c r="M20" s="151">
        <f>SUM(N20:Q20)</f>
        <v>0</v>
      </c>
      <c r="N20" s="152"/>
      <c r="O20" s="152"/>
      <c r="P20" s="152"/>
      <c r="Q20" s="153"/>
    </row>
    <row r="21" spans="1:17" ht="12.75">
      <c r="A21" s="914"/>
      <c r="B21" s="148">
        <v>2010</v>
      </c>
      <c r="C21" s="149"/>
      <c r="D21" s="130"/>
      <c r="E21" s="153">
        <f>SUM(F21:G21)</f>
        <v>4681950.13</v>
      </c>
      <c r="F21" s="153">
        <f>1221367-50879.46</f>
        <v>1170487.54</v>
      </c>
      <c r="G21" s="153">
        <f>3664101-152638.41</f>
        <v>3511462.59</v>
      </c>
      <c r="H21" s="151">
        <f>SUM(M21+I21)</f>
        <v>0</v>
      </c>
      <c r="I21" s="151">
        <f>SUM(J21:L21)</f>
        <v>0</v>
      </c>
      <c r="J21" s="151"/>
      <c r="K21" s="151"/>
      <c r="L21" s="153"/>
      <c r="M21" s="151">
        <f>SUM(N21:Q21)</f>
        <v>0</v>
      </c>
      <c r="N21" s="152"/>
      <c r="O21" s="152"/>
      <c r="P21" s="152"/>
      <c r="Q21" s="153"/>
    </row>
    <row r="22" spans="1:17" ht="12.75">
      <c r="A22" s="915"/>
      <c r="B22" s="148">
        <v>2011</v>
      </c>
      <c r="C22" s="130"/>
      <c r="D22" s="130"/>
      <c r="E22" s="153">
        <f>SUM(F22:G22)</f>
        <v>2927208.19</v>
      </c>
      <c r="F22" s="153">
        <f>680922.57+50879.46</f>
        <v>731802.0299999999</v>
      </c>
      <c r="G22" s="153">
        <f>2042767.75+152638.41</f>
        <v>2195406.16</v>
      </c>
      <c r="H22" s="151">
        <f>SUM(M22+I22)</f>
        <v>2927208.19</v>
      </c>
      <c r="I22" s="151">
        <f>SUM(J22:L22)</f>
        <v>731802.0299999999</v>
      </c>
      <c r="J22" s="153"/>
      <c r="K22" s="153"/>
      <c r="L22" s="153">
        <f>680922.57+50879.46</f>
        <v>731802.0299999999</v>
      </c>
      <c r="M22" s="151">
        <f>SUM(N22:Q22)</f>
        <v>2195406.16</v>
      </c>
      <c r="N22" s="154"/>
      <c r="O22" s="154"/>
      <c r="P22" s="154"/>
      <c r="Q22" s="153">
        <f>2042767.75+152638.41</f>
        <v>2195406.16</v>
      </c>
    </row>
    <row r="23" spans="1:17" ht="12.75">
      <c r="A23" s="913" t="s">
        <v>513</v>
      </c>
      <c r="B23" s="131" t="s">
        <v>281</v>
      </c>
      <c r="C23" s="134" t="s">
        <v>280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</row>
    <row r="24" spans="1:17" ht="12.75">
      <c r="A24" s="914"/>
      <c r="B24" s="160" t="s">
        <v>283</v>
      </c>
      <c r="C24" s="919" t="s">
        <v>286</v>
      </c>
      <c r="D24" s="916"/>
      <c r="E24" s="916"/>
      <c r="F24" s="916"/>
      <c r="G24" s="140"/>
      <c r="H24" s="140"/>
      <c r="I24" s="140"/>
      <c r="J24" s="140" t="s">
        <v>60</v>
      </c>
      <c r="K24" s="140"/>
      <c r="L24" s="140"/>
      <c r="M24" s="140"/>
      <c r="N24" s="140"/>
      <c r="O24" s="140"/>
      <c r="P24" s="140"/>
      <c r="Q24" s="141"/>
    </row>
    <row r="25" spans="1:17" ht="12.75">
      <c r="A25" s="914"/>
      <c r="B25" s="138" t="s">
        <v>295</v>
      </c>
      <c r="C25" s="155" t="s">
        <v>287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1"/>
    </row>
    <row r="26" spans="1:17" ht="12.75">
      <c r="A26" s="914"/>
      <c r="B26" s="138" t="s">
        <v>288</v>
      </c>
      <c r="C26" s="162" t="s">
        <v>289</v>
      </c>
      <c r="D26" s="163"/>
      <c r="E26" s="163"/>
      <c r="F26" s="163"/>
      <c r="G26" s="163"/>
      <c r="H26" s="163"/>
      <c r="I26" s="163"/>
      <c r="J26" s="163"/>
      <c r="K26" s="142"/>
      <c r="L26" s="142"/>
      <c r="M26" s="142"/>
      <c r="N26" s="142"/>
      <c r="O26" s="142"/>
      <c r="P26" s="142"/>
      <c r="Q26" s="143"/>
    </row>
    <row r="27" spans="1:17" ht="18.75">
      <c r="A27" s="914"/>
      <c r="B27" s="144"/>
      <c r="C27" s="164"/>
      <c r="D27" s="165" t="s">
        <v>274</v>
      </c>
      <c r="E27" s="133">
        <f>SUM(E28:E32)</f>
        <v>9052367.5</v>
      </c>
      <c r="F27" s="133">
        <f>SUM(F28:F32)</f>
        <v>1875419.69</v>
      </c>
      <c r="G27" s="133">
        <f>SUM(G28:G32)</f>
        <v>7176947.81</v>
      </c>
      <c r="H27" s="133">
        <f>SUM(M27+I27)</f>
        <v>1711929.9</v>
      </c>
      <c r="I27" s="133">
        <f>SUM(I29:I32)</f>
        <v>298902.96</v>
      </c>
      <c r="J27" s="133"/>
      <c r="K27" s="133"/>
      <c r="L27" s="133">
        <f>SUM(L31)</f>
        <v>298902.96</v>
      </c>
      <c r="M27" s="133">
        <f>SUM(N27:Q27)</f>
        <v>1413026.94</v>
      </c>
      <c r="N27" s="147"/>
      <c r="O27" s="147"/>
      <c r="P27" s="147"/>
      <c r="Q27" s="147">
        <f>SUM(Q28:Q32)</f>
        <v>1413026.94</v>
      </c>
    </row>
    <row r="28" spans="1:17" ht="12.75">
      <c r="A28" s="914"/>
      <c r="B28" s="148" t="s">
        <v>272</v>
      </c>
      <c r="C28" s="164"/>
      <c r="D28" s="145"/>
      <c r="E28" s="151">
        <f>SUM(F28:G28)</f>
        <v>134603</v>
      </c>
      <c r="F28" s="151">
        <v>23501.68</v>
      </c>
      <c r="G28" s="151">
        <v>111101.32</v>
      </c>
      <c r="H28" s="151"/>
      <c r="I28" s="151"/>
      <c r="J28" s="151"/>
      <c r="K28" s="151"/>
      <c r="L28" s="151"/>
      <c r="M28" s="151"/>
      <c r="N28" s="152"/>
      <c r="O28" s="152"/>
      <c r="P28" s="152"/>
      <c r="Q28" s="152"/>
    </row>
    <row r="29" spans="1:17" ht="12.75">
      <c r="A29" s="914"/>
      <c r="B29" s="148">
        <v>2009</v>
      </c>
      <c r="C29" s="132"/>
      <c r="D29" s="130"/>
      <c r="E29" s="153">
        <f>SUM(F29:G29)</f>
        <v>0</v>
      </c>
      <c r="F29" s="166"/>
      <c r="G29" s="153"/>
      <c r="H29" s="151">
        <f>SUM(M29+I29)</f>
        <v>0</v>
      </c>
      <c r="I29" s="151">
        <f>SUM(J29:L29)</f>
        <v>0</v>
      </c>
      <c r="J29" s="151"/>
      <c r="K29" s="151"/>
      <c r="L29" s="167"/>
      <c r="M29" s="151">
        <f>SUM(N29:Q29)</f>
        <v>0</v>
      </c>
      <c r="N29" s="152"/>
      <c r="O29" s="152"/>
      <c r="P29" s="152"/>
      <c r="Q29" s="153"/>
    </row>
    <row r="30" spans="1:17" ht="12.75">
      <c r="A30" s="914"/>
      <c r="B30" s="148">
        <v>2010</v>
      </c>
      <c r="C30" s="132"/>
      <c r="D30" s="130"/>
      <c r="E30" s="153">
        <f>SUM(F30:G30)</f>
        <v>3187391.6799999997</v>
      </c>
      <c r="F30" s="166">
        <v>556518.59</v>
      </c>
      <c r="G30" s="166">
        <v>2630873.09</v>
      </c>
      <c r="H30" s="151">
        <f>SUM(M30+I30)</f>
        <v>0</v>
      </c>
      <c r="I30" s="151">
        <f>SUM(J30:L30)</f>
        <v>0</v>
      </c>
      <c r="J30" s="151"/>
      <c r="K30" s="151"/>
      <c r="L30" s="167"/>
      <c r="M30" s="151">
        <f>SUM(N30:Q30)</f>
        <v>0</v>
      </c>
      <c r="N30" s="152"/>
      <c r="O30" s="152"/>
      <c r="P30" s="152"/>
      <c r="Q30" s="167"/>
    </row>
    <row r="31" spans="1:17" ht="12.75">
      <c r="A31" s="914"/>
      <c r="B31" s="148">
        <v>2011</v>
      </c>
      <c r="C31" s="132"/>
      <c r="D31" s="130"/>
      <c r="E31" s="153">
        <f>SUM(F31:G31)</f>
        <v>1711929.9</v>
      </c>
      <c r="F31" s="166">
        <v>298902.96</v>
      </c>
      <c r="G31" s="166">
        <v>1413026.94</v>
      </c>
      <c r="H31" s="151">
        <f>SUM(M31+I31)</f>
        <v>1711929.9</v>
      </c>
      <c r="I31" s="151">
        <f>SUM(J31:L31)</f>
        <v>298902.96</v>
      </c>
      <c r="J31" s="151"/>
      <c r="K31" s="151" t="s">
        <v>60</v>
      </c>
      <c r="L31" s="167">
        <v>298902.96</v>
      </c>
      <c r="M31" s="151">
        <f>SUM(N31:Q31)</f>
        <v>1413026.94</v>
      </c>
      <c r="N31" s="152"/>
      <c r="O31" s="152"/>
      <c r="P31" s="152"/>
      <c r="Q31" s="166">
        <v>1413026.94</v>
      </c>
    </row>
    <row r="32" spans="1:17" ht="12.75">
      <c r="A32" s="915"/>
      <c r="B32" s="148">
        <v>2012</v>
      </c>
      <c r="C32" s="132"/>
      <c r="D32" s="130"/>
      <c r="E32" s="153">
        <f>SUM(F32:G32)</f>
        <v>4018442.92</v>
      </c>
      <c r="F32" s="167">
        <v>996496.46</v>
      </c>
      <c r="G32" s="167">
        <v>3021946.46</v>
      </c>
      <c r="H32" s="151"/>
      <c r="I32" s="151"/>
      <c r="J32" s="153"/>
      <c r="K32" s="153"/>
      <c r="L32" s="151"/>
      <c r="M32" s="151"/>
      <c r="N32" s="154"/>
      <c r="O32" s="154"/>
      <c r="P32" s="154"/>
      <c r="Q32" s="152"/>
    </row>
    <row r="33" spans="1:17" ht="12.75">
      <c r="A33" s="913" t="s">
        <v>273</v>
      </c>
      <c r="B33" s="173" t="s">
        <v>281</v>
      </c>
      <c r="C33" s="155" t="s">
        <v>280</v>
      </c>
      <c r="D33" s="156"/>
      <c r="E33" s="157"/>
      <c r="F33" s="186"/>
      <c r="G33" s="186"/>
      <c r="H33" s="157"/>
      <c r="I33" s="157"/>
      <c r="J33" s="157"/>
      <c r="K33" s="157"/>
      <c r="L33" s="157"/>
      <c r="M33" s="157"/>
      <c r="N33" s="158"/>
      <c r="O33" s="158"/>
      <c r="P33" s="158"/>
      <c r="Q33" s="189"/>
    </row>
    <row r="34" spans="1:17" ht="12.75">
      <c r="A34" s="914"/>
      <c r="B34" s="138" t="s">
        <v>523</v>
      </c>
      <c r="C34" s="139" t="s">
        <v>300</v>
      </c>
      <c r="D34" s="139"/>
      <c r="E34" s="139"/>
      <c r="F34" s="139"/>
      <c r="G34" s="168"/>
      <c r="H34" s="168"/>
      <c r="I34" s="168"/>
      <c r="J34" s="157"/>
      <c r="K34" s="157"/>
      <c r="L34" s="157"/>
      <c r="M34" s="157"/>
      <c r="N34" s="158"/>
      <c r="O34" s="158"/>
      <c r="P34" s="158"/>
      <c r="Q34" s="159"/>
    </row>
    <row r="35" spans="1:17" ht="12.75">
      <c r="A35" s="914"/>
      <c r="B35" s="138" t="s">
        <v>295</v>
      </c>
      <c r="C35" s="139" t="s">
        <v>301</v>
      </c>
      <c r="D35" s="187"/>
      <c r="E35" s="188"/>
      <c r="F35" s="186"/>
      <c r="G35" s="186"/>
      <c r="H35" s="157"/>
      <c r="I35" s="157"/>
      <c r="J35" s="157"/>
      <c r="K35" s="157"/>
      <c r="L35" s="157"/>
      <c r="M35" s="157"/>
      <c r="N35" s="158"/>
      <c r="O35" s="158"/>
      <c r="P35" s="158"/>
      <c r="Q35" s="159"/>
    </row>
    <row r="36" spans="1:17" ht="12.75">
      <c r="A36" s="914"/>
      <c r="B36" s="138" t="s">
        <v>288</v>
      </c>
      <c r="C36" s="181" t="s">
        <v>302</v>
      </c>
      <c r="D36" s="181"/>
      <c r="E36" s="181"/>
      <c r="F36" s="181"/>
      <c r="G36" s="181"/>
      <c r="H36" s="181"/>
      <c r="I36" s="181"/>
      <c r="J36" s="181"/>
      <c r="K36" s="181"/>
      <c r="L36" s="793"/>
      <c r="M36" s="169"/>
      <c r="N36" s="773"/>
      <c r="O36" s="773"/>
      <c r="P36" s="773"/>
      <c r="Q36" s="190"/>
    </row>
    <row r="37" spans="1:17" ht="18.75">
      <c r="A37" s="914"/>
      <c r="B37" s="138"/>
      <c r="C37" s="130"/>
      <c r="D37" s="161" t="s">
        <v>303</v>
      </c>
      <c r="E37" s="153">
        <f>SUM(E38:E40)</f>
        <v>31118876.75</v>
      </c>
      <c r="F37" s="167">
        <f>SUM(F38:F40)</f>
        <v>6653363.15</v>
      </c>
      <c r="G37" s="167">
        <f>SUM(G38:G40)</f>
        <v>24465513.6</v>
      </c>
      <c r="H37" s="151">
        <f>SUM(M37+I37)</f>
        <v>10909938.05</v>
      </c>
      <c r="I37" s="151">
        <f>SUM(J37:L37)</f>
        <v>2323674.73</v>
      </c>
      <c r="J37" s="153"/>
      <c r="K37" s="153"/>
      <c r="L37" s="153">
        <f>SUM(L38:L40)</f>
        <v>2323674.73</v>
      </c>
      <c r="M37" s="151">
        <f>SUM(N37:Q37)</f>
        <v>8586263.32</v>
      </c>
      <c r="N37" s="154"/>
      <c r="O37" s="154"/>
      <c r="P37" s="154"/>
      <c r="Q37" s="154">
        <f>SUM(Q39:Q40)</f>
        <v>8586263.32</v>
      </c>
    </row>
    <row r="38" spans="1:17" ht="19.5">
      <c r="A38" s="914"/>
      <c r="B38" s="138" t="s">
        <v>304</v>
      </c>
      <c r="C38" s="130"/>
      <c r="D38" s="161"/>
      <c r="E38" s="153">
        <f>SUM(F38:G38)</f>
        <v>5388938.760000001</v>
      </c>
      <c r="F38" s="167">
        <v>1103084.11</v>
      </c>
      <c r="G38" s="167">
        <f>4285854.65</f>
        <v>4285854.65</v>
      </c>
      <c r="H38" s="153"/>
      <c r="I38" s="153"/>
      <c r="J38" s="153"/>
      <c r="K38" s="153"/>
      <c r="L38" s="153"/>
      <c r="M38" s="153"/>
      <c r="N38" s="154"/>
      <c r="O38" s="154"/>
      <c r="P38" s="154"/>
      <c r="Q38" s="154"/>
    </row>
    <row r="39" spans="1:17" ht="12.75">
      <c r="A39" s="914"/>
      <c r="B39" s="138">
        <v>2010</v>
      </c>
      <c r="C39" s="130"/>
      <c r="D39" s="130"/>
      <c r="E39" s="153">
        <f>SUM(F39:G39)</f>
        <v>14819999.939999998</v>
      </c>
      <c r="F39" s="167">
        <f>3871061+458627.42-1103084.11</f>
        <v>3226604.3099999996</v>
      </c>
      <c r="G39" s="167">
        <f>15879250.28-4285854.65</f>
        <v>11593395.629999999</v>
      </c>
      <c r="H39" s="151">
        <f>SUM(M39+I39)</f>
        <v>0</v>
      </c>
      <c r="I39" s="151">
        <f>SUM(J39:L39)</f>
        <v>0</v>
      </c>
      <c r="J39" s="153"/>
      <c r="K39" s="153"/>
      <c r="L39" s="153"/>
      <c r="M39" s="151">
        <f>SUM(N39:Q39)</f>
        <v>0</v>
      </c>
      <c r="N39" s="154"/>
      <c r="O39" s="154"/>
      <c r="P39" s="154"/>
      <c r="Q39" s="167"/>
    </row>
    <row r="40" spans="1:17" ht="12.75">
      <c r="A40" s="915"/>
      <c r="B40" s="160">
        <v>2011</v>
      </c>
      <c r="C40" s="130"/>
      <c r="D40" s="760"/>
      <c r="E40" s="761">
        <f>SUM(F40:G40)</f>
        <v>10909938.05</v>
      </c>
      <c r="F40" s="166">
        <f>2093168.69+230506.04</f>
        <v>2323674.73</v>
      </c>
      <c r="G40" s="166">
        <v>8586263.32</v>
      </c>
      <c r="H40" s="762">
        <f>SUM(M40+I40)</f>
        <v>10909938.05</v>
      </c>
      <c r="I40" s="762">
        <f>SUM(J40:L40)</f>
        <v>2323674.73</v>
      </c>
      <c r="J40" s="761"/>
      <c r="K40" s="761"/>
      <c r="L40" s="166">
        <f>2093168.69+230506.04</f>
        <v>2323674.73</v>
      </c>
      <c r="M40" s="762">
        <f>SUM(N40:Q40)</f>
        <v>8586263.32</v>
      </c>
      <c r="N40" s="763"/>
      <c r="O40" s="763"/>
      <c r="P40" s="763"/>
      <c r="Q40" s="166">
        <v>8586263.32</v>
      </c>
    </row>
    <row r="41" spans="1:17" ht="12.75">
      <c r="A41" s="913" t="s">
        <v>519</v>
      </c>
      <c r="B41" s="776" t="s">
        <v>281</v>
      </c>
      <c r="C41" s="155" t="s">
        <v>280</v>
      </c>
      <c r="D41" s="775"/>
      <c r="E41" s="765"/>
      <c r="F41" s="766"/>
      <c r="G41" s="766"/>
      <c r="H41" s="765"/>
      <c r="I41" s="765"/>
      <c r="J41" s="765"/>
      <c r="K41" s="765"/>
      <c r="L41" s="766"/>
      <c r="M41" s="765"/>
      <c r="N41" s="767"/>
      <c r="O41" s="767"/>
      <c r="P41" s="767"/>
      <c r="Q41" s="768"/>
    </row>
    <row r="42" spans="1:17" ht="12.75">
      <c r="A42" s="914"/>
      <c r="B42" s="758" t="s">
        <v>523</v>
      </c>
      <c r="C42" s="916" t="s">
        <v>525</v>
      </c>
      <c r="D42" s="916"/>
      <c r="E42" s="916"/>
      <c r="F42" s="916"/>
      <c r="G42" s="186"/>
      <c r="H42" s="157"/>
      <c r="I42" s="157"/>
      <c r="J42" s="157"/>
      <c r="K42" s="157"/>
      <c r="L42" s="186"/>
      <c r="M42" s="157"/>
      <c r="N42" s="158"/>
      <c r="O42" s="158"/>
      <c r="P42" s="158"/>
      <c r="Q42" s="770"/>
    </row>
    <row r="43" spans="1:17" ht="12.75">
      <c r="A43" s="914"/>
      <c r="B43" s="758" t="s">
        <v>295</v>
      </c>
      <c r="C43" s="916" t="s">
        <v>526</v>
      </c>
      <c r="D43" s="916"/>
      <c r="E43" s="916"/>
      <c r="F43" s="916"/>
      <c r="G43" s="186"/>
      <c r="H43" s="157"/>
      <c r="I43" s="157"/>
      <c r="J43" s="157"/>
      <c r="K43" s="157"/>
      <c r="L43" s="186"/>
      <c r="M43" s="157"/>
      <c r="N43" s="158"/>
      <c r="O43" s="158"/>
      <c r="P43" s="158"/>
      <c r="Q43" s="770"/>
    </row>
    <row r="44" spans="1:17" ht="12.75">
      <c r="A44" s="914"/>
      <c r="B44" s="758" t="s">
        <v>288</v>
      </c>
      <c r="C44" s="920" t="s">
        <v>495</v>
      </c>
      <c r="D44" s="918"/>
      <c r="E44" s="918"/>
      <c r="F44" s="918"/>
      <c r="G44" s="918"/>
      <c r="H44" s="918"/>
      <c r="I44" s="918"/>
      <c r="J44" s="918"/>
      <c r="K44" s="169"/>
      <c r="L44" s="772"/>
      <c r="M44" s="169"/>
      <c r="N44" s="773"/>
      <c r="O44" s="773"/>
      <c r="P44" s="773"/>
      <c r="Q44" s="774"/>
    </row>
    <row r="45" spans="1:17" ht="18.75">
      <c r="A45" s="914"/>
      <c r="B45" s="160"/>
      <c r="C45" s="130"/>
      <c r="D45" s="161" t="s">
        <v>527</v>
      </c>
      <c r="E45" s="167">
        <f>SUM(E46)</f>
        <v>3846564.58</v>
      </c>
      <c r="F45" s="167">
        <f>SUM(F46)</f>
        <v>2296878.65</v>
      </c>
      <c r="G45" s="167">
        <f>SUM(G46)</f>
        <v>1549685.93</v>
      </c>
      <c r="H45" s="167">
        <f>SUM(H46)</f>
        <v>3846564.58</v>
      </c>
      <c r="I45" s="167">
        <f>SUM(I46)</f>
        <v>2296878.65</v>
      </c>
      <c r="J45" s="153"/>
      <c r="K45" s="153"/>
      <c r="L45" s="167">
        <f>SUM(L46)</f>
        <v>2296878.65</v>
      </c>
      <c r="M45" s="167">
        <f>SUM(M46)</f>
        <v>1549685.93</v>
      </c>
      <c r="N45" s="154"/>
      <c r="O45" s="154"/>
      <c r="P45" s="158"/>
      <c r="Q45" s="167">
        <f>SUM(Q46)</f>
        <v>1549685.93</v>
      </c>
    </row>
    <row r="46" spans="1:17" ht="19.5">
      <c r="A46" s="915"/>
      <c r="B46" s="138" t="s">
        <v>528</v>
      </c>
      <c r="C46" s="130"/>
      <c r="D46" s="130"/>
      <c r="E46" s="153">
        <f>SUM(F46:G46)</f>
        <v>3846564.58</v>
      </c>
      <c r="F46" s="167">
        <v>2296878.65</v>
      </c>
      <c r="G46" s="167">
        <v>1549685.93</v>
      </c>
      <c r="H46" s="153">
        <f>SUM(M46+I46)</f>
        <v>3846564.58</v>
      </c>
      <c r="I46" s="153">
        <f>SUM(J46:L46)</f>
        <v>2296878.65</v>
      </c>
      <c r="J46" s="153"/>
      <c r="K46" s="153"/>
      <c r="L46" s="167">
        <v>2296878.65</v>
      </c>
      <c r="M46" s="153">
        <f>SUM(N46:Q46)</f>
        <v>1549685.93</v>
      </c>
      <c r="N46" s="154"/>
      <c r="O46" s="154"/>
      <c r="P46" s="767"/>
      <c r="Q46" s="167">
        <v>1549685.93</v>
      </c>
    </row>
    <row r="47" spans="1:17" ht="12.75">
      <c r="A47" s="913" t="s">
        <v>529</v>
      </c>
      <c r="B47" s="757" t="s">
        <v>281</v>
      </c>
      <c r="C47" s="924" t="s">
        <v>515</v>
      </c>
      <c r="D47" s="925"/>
      <c r="E47" s="925"/>
      <c r="F47" s="925"/>
      <c r="G47" s="925"/>
      <c r="H47" s="925"/>
      <c r="I47" s="765"/>
      <c r="J47" s="765"/>
      <c r="K47" s="765"/>
      <c r="L47" s="766"/>
      <c r="M47" s="765"/>
      <c r="N47" s="767"/>
      <c r="O47" s="767"/>
      <c r="P47" s="767"/>
      <c r="Q47" s="768"/>
    </row>
    <row r="48" spans="1:17" ht="12.75">
      <c r="A48" s="914"/>
      <c r="B48" s="758" t="s">
        <v>524</v>
      </c>
      <c r="C48" s="769" t="s">
        <v>516</v>
      </c>
      <c r="D48" s="156"/>
      <c r="E48" s="157"/>
      <c r="F48" s="186"/>
      <c r="G48" s="186"/>
      <c r="H48" s="157"/>
      <c r="I48" s="157"/>
      <c r="J48" s="157"/>
      <c r="K48" s="157"/>
      <c r="L48" s="186"/>
      <c r="M48" s="157"/>
      <c r="N48" s="158"/>
      <c r="O48" s="158"/>
      <c r="P48" s="158"/>
      <c r="Q48" s="770"/>
    </row>
    <row r="49" spans="1:17" ht="12.75">
      <c r="A49" s="914"/>
      <c r="B49" s="759" t="s">
        <v>514</v>
      </c>
      <c r="C49" s="769" t="s">
        <v>517</v>
      </c>
      <c r="D49" s="156"/>
      <c r="E49" s="157"/>
      <c r="F49" s="186"/>
      <c r="G49" s="186"/>
      <c r="H49" s="157"/>
      <c r="I49" s="157"/>
      <c r="J49" s="157"/>
      <c r="K49" s="157"/>
      <c r="L49" s="186"/>
      <c r="M49" s="157" t="s">
        <v>60</v>
      </c>
      <c r="N49" s="158"/>
      <c r="O49" s="158"/>
      <c r="P49" s="158"/>
      <c r="Q49" s="770"/>
    </row>
    <row r="50" spans="1:17" ht="12.75">
      <c r="A50" s="914"/>
      <c r="B50" s="758" t="s">
        <v>288</v>
      </c>
      <c r="C50" s="162" t="s">
        <v>518</v>
      </c>
      <c r="D50" s="771"/>
      <c r="E50" s="169"/>
      <c r="F50" s="772"/>
      <c r="G50" s="772"/>
      <c r="H50" s="169"/>
      <c r="I50" s="169"/>
      <c r="J50" s="169"/>
      <c r="K50" s="169"/>
      <c r="L50" s="772"/>
      <c r="M50" s="169"/>
      <c r="N50" s="773"/>
      <c r="O50" s="773"/>
      <c r="P50" s="773"/>
      <c r="Q50" s="774"/>
    </row>
    <row r="51" spans="1:17" ht="18.75">
      <c r="A51" s="914"/>
      <c r="B51" s="138"/>
      <c r="C51" s="145"/>
      <c r="D51" s="161" t="s">
        <v>520</v>
      </c>
      <c r="E51" s="151">
        <f>SUM(F51:G51)</f>
        <v>433833.6</v>
      </c>
      <c r="F51" s="764">
        <f>SUM(F52:F53)</f>
        <v>168633.6</v>
      </c>
      <c r="G51" s="764">
        <f>SUM(G52:G53)</f>
        <v>265200</v>
      </c>
      <c r="H51" s="151">
        <f>SUM(M51+I51)</f>
        <v>25949.4</v>
      </c>
      <c r="I51" s="151">
        <f>SUM(J51:L51)</f>
        <v>9996.9</v>
      </c>
      <c r="J51" s="151"/>
      <c r="K51" s="151"/>
      <c r="L51" s="764">
        <f>SUM(L52:L53)</f>
        <v>9996.9</v>
      </c>
      <c r="M51" s="151">
        <f>SUM(N51:Q51)</f>
        <v>15952.5</v>
      </c>
      <c r="N51" s="152"/>
      <c r="O51" s="152"/>
      <c r="P51" s="152"/>
      <c r="Q51" s="764">
        <f>SUM(Q52:Q53)</f>
        <v>15952.5</v>
      </c>
    </row>
    <row r="52" spans="1:17" ht="19.5">
      <c r="A52" s="914"/>
      <c r="B52" s="138" t="s">
        <v>521</v>
      </c>
      <c r="C52" s="145"/>
      <c r="D52" s="161"/>
      <c r="E52" s="151">
        <f>SUM(F52:G52)</f>
        <v>407884.2</v>
      </c>
      <c r="F52" s="764">
        <v>158636.7</v>
      </c>
      <c r="G52" s="764">
        <v>249247.5</v>
      </c>
      <c r="H52" s="151"/>
      <c r="I52" s="151"/>
      <c r="J52" s="151"/>
      <c r="K52" s="151"/>
      <c r="L52" s="764"/>
      <c r="M52" s="151"/>
      <c r="N52" s="152"/>
      <c r="O52" s="152"/>
      <c r="P52" s="152"/>
      <c r="Q52" s="764"/>
    </row>
    <row r="53" spans="1:17" ht="13.5" thickBot="1">
      <c r="A53" s="923"/>
      <c r="B53" s="785">
        <v>2011</v>
      </c>
      <c r="C53" s="174"/>
      <c r="D53" s="174"/>
      <c r="E53" s="786">
        <f>SUM(F53:G53)</f>
        <v>25949.4</v>
      </c>
      <c r="F53" s="787">
        <v>9996.9</v>
      </c>
      <c r="G53" s="787">
        <v>15952.5</v>
      </c>
      <c r="H53" s="788">
        <f>SUM(M53+I53)</f>
        <v>25949.4</v>
      </c>
      <c r="I53" s="788">
        <f>SUM(J53:L53)</f>
        <v>9996.9</v>
      </c>
      <c r="J53" s="786"/>
      <c r="K53" s="786"/>
      <c r="L53" s="787">
        <v>9996.9</v>
      </c>
      <c r="M53" s="788">
        <f>SUM(N53:Q53)</f>
        <v>15952.5</v>
      </c>
      <c r="N53" s="789"/>
      <c r="O53" s="789"/>
      <c r="P53" s="789"/>
      <c r="Q53" s="787">
        <v>15952.5</v>
      </c>
    </row>
    <row r="54" spans="1:17" ht="13.5" thickTop="1">
      <c r="A54" s="782" t="s">
        <v>537</v>
      </c>
      <c r="B54" s="173" t="s">
        <v>538</v>
      </c>
      <c r="C54" s="911" t="s">
        <v>239</v>
      </c>
      <c r="D54" s="912"/>
      <c r="E54" s="783">
        <f>SUM(E59+E67+E73+E80+E86+E92)</f>
        <v>143120</v>
      </c>
      <c r="F54" s="783">
        <f>SUM(F59+F67+F73+F80+F86+F92)</f>
        <v>21468</v>
      </c>
      <c r="G54" s="783">
        <f>SUM(G59+G67+G73+G80+G86+G92)</f>
        <v>121652</v>
      </c>
      <c r="H54" s="783">
        <f>SUM(H59+H67+H73+H80+H86+H92)</f>
        <v>64110</v>
      </c>
      <c r="I54" s="783">
        <f>SUM(I59+I67+I73+I80+I86+I92)</f>
        <v>9616.5</v>
      </c>
      <c r="J54" s="784"/>
      <c r="K54" s="784"/>
      <c r="L54" s="783">
        <f>SUM(L59+L67+L73+L80+L86+L92)</f>
        <v>9616.5</v>
      </c>
      <c r="M54" s="783">
        <f>SUM(M59+M67+M73+M80+M86)</f>
        <v>54493.5</v>
      </c>
      <c r="N54" s="784"/>
      <c r="O54" s="784"/>
      <c r="P54" s="784"/>
      <c r="Q54" s="783">
        <f>SUM(Q59+Q67+Q73+Q80+Q86+Q92)</f>
        <v>54493.5</v>
      </c>
    </row>
    <row r="55" spans="1:17" ht="12.75">
      <c r="A55" s="913" t="s">
        <v>539</v>
      </c>
      <c r="B55" s="758" t="s">
        <v>281</v>
      </c>
      <c r="C55" s="924" t="s">
        <v>530</v>
      </c>
      <c r="D55" s="925"/>
      <c r="E55" s="925"/>
      <c r="F55" s="925"/>
      <c r="G55" s="925"/>
      <c r="H55" s="765"/>
      <c r="I55" s="765"/>
      <c r="J55" s="765"/>
      <c r="K55" s="765"/>
      <c r="L55" s="765"/>
      <c r="M55" s="765"/>
      <c r="N55" s="765"/>
      <c r="O55" s="765"/>
      <c r="P55" s="765"/>
      <c r="Q55" s="778"/>
    </row>
    <row r="56" spans="1:17" ht="12.75">
      <c r="A56" s="914"/>
      <c r="B56" s="758" t="s">
        <v>531</v>
      </c>
      <c r="C56" s="769" t="s">
        <v>532</v>
      </c>
      <c r="D56" s="155"/>
      <c r="E56" s="155"/>
      <c r="F56" s="155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779"/>
    </row>
    <row r="57" spans="1:17" ht="12.75">
      <c r="A57" s="914"/>
      <c r="B57" s="758" t="s">
        <v>533</v>
      </c>
      <c r="C57" s="769" t="s">
        <v>534</v>
      </c>
      <c r="D57" s="155"/>
      <c r="E57" s="155"/>
      <c r="F57" s="155"/>
      <c r="G57" s="155"/>
      <c r="H57" s="157"/>
      <c r="I57" s="157"/>
      <c r="J57" s="157"/>
      <c r="K57" s="157"/>
      <c r="L57" s="157"/>
      <c r="M57" s="157"/>
      <c r="N57" s="157"/>
      <c r="O57" s="157"/>
      <c r="P57" s="157"/>
      <c r="Q57" s="779"/>
    </row>
    <row r="58" spans="1:17" ht="12.75">
      <c r="A58" s="914"/>
      <c r="B58" s="777" t="s">
        <v>285</v>
      </c>
      <c r="C58" s="920" t="s">
        <v>535</v>
      </c>
      <c r="D58" s="918"/>
      <c r="E58" s="918"/>
      <c r="F58" s="918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780"/>
    </row>
    <row r="59" spans="1:17" ht="17.25">
      <c r="A59" s="914"/>
      <c r="B59" s="138"/>
      <c r="C59" s="130"/>
      <c r="D59" s="781" t="s">
        <v>536</v>
      </c>
      <c r="E59" s="153">
        <f>SUM(F59:G59)</f>
        <v>143120</v>
      </c>
      <c r="F59" s="153">
        <f>SUM(F60:F61)</f>
        <v>21468</v>
      </c>
      <c r="G59" s="153">
        <f>SUM(G60:G61)</f>
        <v>121652</v>
      </c>
      <c r="H59" s="153">
        <f>SUM(M59+I59)</f>
        <v>64110</v>
      </c>
      <c r="I59" s="762">
        <f>SUM(J59:L59)</f>
        <v>9616.5</v>
      </c>
      <c r="J59" s="151"/>
      <c r="K59" s="151"/>
      <c r="L59" s="151">
        <f>SUM(L60:L61)</f>
        <v>9616.5</v>
      </c>
      <c r="M59" s="762">
        <f>SUM(N59:Q59)</f>
        <v>54493.5</v>
      </c>
      <c r="N59" s="151"/>
      <c r="O59" s="151"/>
      <c r="P59" s="151"/>
      <c r="Q59" s="151">
        <f>SUM(Q60:Q61)</f>
        <v>54493.5</v>
      </c>
    </row>
    <row r="60" spans="1:17" ht="12.75">
      <c r="A60" s="914"/>
      <c r="B60" s="138">
        <v>2010</v>
      </c>
      <c r="C60" s="130"/>
      <c r="D60" s="130"/>
      <c r="E60" s="153">
        <f>SUM(F60:G60)</f>
        <v>79010</v>
      </c>
      <c r="F60" s="153">
        <v>11851.5</v>
      </c>
      <c r="G60" s="153">
        <v>67158.5</v>
      </c>
      <c r="H60" s="153">
        <f>SUM(M60+I60)</f>
        <v>0</v>
      </c>
      <c r="I60" s="761">
        <f>SUM(J60:L60)</f>
        <v>0</v>
      </c>
      <c r="J60" s="153"/>
      <c r="K60" s="153"/>
      <c r="L60" s="153"/>
      <c r="M60" s="761">
        <f>SUM(N60:Q60)</f>
        <v>0</v>
      </c>
      <c r="N60" s="153"/>
      <c r="O60" s="153"/>
      <c r="P60" s="153"/>
      <c r="Q60" s="153"/>
    </row>
    <row r="61" spans="1:17" ht="13.5" thickBot="1">
      <c r="A61" s="926"/>
      <c r="B61" s="790">
        <v>2011</v>
      </c>
      <c r="C61" s="791"/>
      <c r="D61" s="791"/>
      <c r="E61" s="792">
        <f>SUM(F61:G61)</f>
        <v>64110</v>
      </c>
      <c r="F61" s="792">
        <v>9616.5</v>
      </c>
      <c r="G61" s="792">
        <v>54493.5</v>
      </c>
      <c r="H61" s="792"/>
      <c r="I61" s="792">
        <f>SUM(J61:L61)</f>
        <v>9616.5</v>
      </c>
      <c r="J61" s="792"/>
      <c r="K61" s="792"/>
      <c r="L61" s="792">
        <v>9616.5</v>
      </c>
      <c r="M61" s="792">
        <f>SUM(N61:Q61)</f>
        <v>54493.5</v>
      </c>
      <c r="N61" s="792"/>
      <c r="O61" s="792"/>
      <c r="P61" s="792"/>
      <c r="Q61" s="792">
        <v>54493.5</v>
      </c>
    </row>
    <row r="62" spans="1:17" ht="12.75">
      <c r="A62" s="921" t="s">
        <v>275</v>
      </c>
      <c r="B62" s="921"/>
      <c r="C62" s="922" t="s">
        <v>239</v>
      </c>
      <c r="D62" s="922"/>
      <c r="E62" s="151">
        <f>SUM(E13+E54)</f>
        <v>53188466.79</v>
      </c>
      <c r="F62" s="151">
        <f>SUM(F13+F54)</f>
        <v>13164189.18</v>
      </c>
      <c r="G62" s="151">
        <f>SUM(G13+G54)</f>
        <v>40024277.61</v>
      </c>
      <c r="H62" s="151">
        <f>SUM(H13+H54)</f>
        <v>19485700.119999997</v>
      </c>
      <c r="I62" s="151">
        <f>SUM(I13+I54)</f>
        <v>5670871.77</v>
      </c>
      <c r="J62" s="151"/>
      <c r="K62" s="151"/>
      <c r="L62" s="151">
        <f>SUM(L13+L54)</f>
        <v>5670871.77</v>
      </c>
      <c r="M62" s="151">
        <f>SUM(M13+M54)</f>
        <v>13814828.35</v>
      </c>
      <c r="N62" s="151"/>
      <c r="O62" s="151"/>
      <c r="P62" s="151"/>
      <c r="Q62" s="151">
        <f>SUM(Q13+Q54)</f>
        <v>13814828.35</v>
      </c>
    </row>
    <row r="63" spans="1:17" ht="12.75">
      <c r="A63" s="170" t="s">
        <v>276</v>
      </c>
      <c r="B63" s="171"/>
      <c r="C63" s="171"/>
      <c r="D63" s="171"/>
      <c r="E63" s="171"/>
      <c r="F63" s="171"/>
      <c r="G63" s="171"/>
      <c r="H63" s="172"/>
      <c r="I63" s="172"/>
      <c r="J63" s="172"/>
      <c r="K63" s="172"/>
      <c r="L63" s="172"/>
      <c r="M63" s="172"/>
      <c r="N63" s="172"/>
      <c r="O63" s="172"/>
      <c r="P63" s="172"/>
      <c r="Q63" s="172"/>
    </row>
    <row r="64" spans="1:17" ht="12.75">
      <c r="A64" s="170" t="s">
        <v>277</v>
      </c>
      <c r="B64" s="171"/>
      <c r="C64" s="171"/>
      <c r="D64" s="171"/>
      <c r="E64" s="171"/>
      <c r="F64" s="171"/>
      <c r="G64" s="171"/>
      <c r="H64" s="172"/>
      <c r="I64" s="172"/>
      <c r="J64" s="172"/>
      <c r="K64" s="172" t="s">
        <v>60</v>
      </c>
      <c r="L64" s="172"/>
      <c r="M64" s="172"/>
      <c r="N64" s="172"/>
      <c r="O64" s="172"/>
      <c r="P64" s="172"/>
      <c r="Q64" s="172"/>
    </row>
    <row r="69" ht="12.75">
      <c r="P69" t="s">
        <v>60</v>
      </c>
    </row>
  </sheetData>
  <sheetProtection/>
  <mergeCells count="41">
    <mergeCell ref="A62:B62"/>
    <mergeCell ref="C62:D62"/>
    <mergeCell ref="A47:A53"/>
    <mergeCell ref="C47:H47"/>
    <mergeCell ref="C54:D54"/>
    <mergeCell ref="A55:A61"/>
    <mergeCell ref="C55:G55"/>
    <mergeCell ref="C58:F58"/>
    <mergeCell ref="A23:A32"/>
    <mergeCell ref="C24:F24"/>
    <mergeCell ref="A33:A40"/>
    <mergeCell ref="A41:A46"/>
    <mergeCell ref="C42:F42"/>
    <mergeCell ref="C43:F43"/>
    <mergeCell ref="C44:J44"/>
    <mergeCell ref="I7:Q7"/>
    <mergeCell ref="I8:L8"/>
    <mergeCell ref="M8:Q8"/>
    <mergeCell ref="I9:I10"/>
    <mergeCell ref="J9:L9"/>
    <mergeCell ref="M9:M10"/>
    <mergeCell ref="F5:G5"/>
    <mergeCell ref="C13:D13"/>
    <mergeCell ref="A14:A22"/>
    <mergeCell ref="C15:F15"/>
    <mergeCell ref="C16:D16"/>
    <mergeCell ref="C17:N17"/>
    <mergeCell ref="F6:F10"/>
    <mergeCell ref="G6:G10"/>
    <mergeCell ref="H6:Q6"/>
    <mergeCell ref="H7:H10"/>
    <mergeCell ref="H5:Q5"/>
    <mergeCell ref="N9:Q9"/>
    <mergeCell ref="A1:D1"/>
    <mergeCell ref="A2:Q2"/>
    <mergeCell ref="A3:Q3"/>
    <mergeCell ref="A5:A10"/>
    <mergeCell ref="B5:B10"/>
    <mergeCell ref="C5:C10"/>
    <mergeCell ref="D5:D10"/>
    <mergeCell ref="E5:E1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1"/>
  <sheetViews>
    <sheetView tabSelected="1" zoomScalePageLayoutView="0" workbookViewId="0" topLeftCell="A1">
      <pane xSplit="4" ySplit="7" topLeftCell="E12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133" sqref="I133"/>
    </sheetView>
  </sheetViews>
  <sheetFormatPr defaultColWidth="9.00390625" defaultRowHeight="12.75"/>
  <cols>
    <col min="1" max="1" width="4.875" style="0" customWidth="1"/>
    <col min="2" max="2" width="5.875" style="0" customWidth="1"/>
    <col min="3" max="3" width="5.00390625" style="0" customWidth="1"/>
    <col min="4" max="4" width="37.25390625" style="0" customWidth="1"/>
    <col min="5" max="5" width="11.625" style="0" customWidth="1"/>
    <col min="6" max="7" width="11.25390625" style="0" customWidth="1"/>
    <col min="8" max="8" width="11.75390625" style="0" customWidth="1"/>
    <col min="9" max="9" width="11.125" style="0" customWidth="1"/>
    <col min="10" max="10" width="10.75390625" style="0" customWidth="1"/>
    <col min="11" max="11" width="11.75390625" style="0" customWidth="1"/>
    <col min="12" max="12" width="10.625" style="0" customWidth="1"/>
    <col min="13" max="13" width="10.125" style="0" customWidth="1"/>
    <col min="14" max="14" width="11.00390625" style="0" customWidth="1"/>
    <col min="15" max="15" width="10.75390625" style="0" customWidth="1"/>
  </cols>
  <sheetData>
    <row r="1" spans="1:13" ht="54.75" customHeight="1">
      <c r="A1" s="804" t="s">
        <v>563</v>
      </c>
      <c r="B1" s="804"/>
      <c r="C1" s="804"/>
      <c r="D1" s="804"/>
      <c r="E1" s="23"/>
      <c r="F1" s="23"/>
      <c r="G1" s="23"/>
      <c r="H1" s="23"/>
      <c r="I1" s="23"/>
      <c r="J1" s="23"/>
      <c r="K1" s="23"/>
      <c r="L1" s="23"/>
      <c r="M1" s="1"/>
    </row>
    <row r="2" spans="1:13" ht="12.75">
      <c r="A2" s="805" t="s">
        <v>54</v>
      </c>
      <c r="B2" s="805"/>
      <c r="C2" s="805"/>
      <c r="D2" s="805"/>
      <c r="E2" s="23"/>
      <c r="F2" s="23"/>
      <c r="G2" s="23"/>
      <c r="H2" s="23"/>
      <c r="I2" s="23"/>
      <c r="J2" s="23"/>
      <c r="K2" s="23"/>
      <c r="L2" s="23"/>
      <c r="M2" s="1"/>
    </row>
    <row r="3" spans="1:15" ht="12.75" customHeight="1">
      <c r="A3" s="824" t="s">
        <v>197</v>
      </c>
      <c r="B3" s="826" t="s">
        <v>58</v>
      </c>
      <c r="C3" s="826" t="s">
        <v>298</v>
      </c>
      <c r="D3" s="816" t="s">
        <v>57</v>
      </c>
      <c r="E3" s="815" t="s">
        <v>420</v>
      </c>
      <c r="F3" s="818" t="s">
        <v>93</v>
      </c>
      <c r="G3" s="818"/>
      <c r="H3" s="818"/>
      <c r="I3" s="818"/>
      <c r="J3" s="818"/>
      <c r="K3" s="818"/>
      <c r="L3" s="818"/>
      <c r="M3" s="818"/>
      <c r="N3" s="818"/>
      <c r="O3" s="502"/>
    </row>
    <row r="4" spans="1:15" ht="12.75">
      <c r="A4" s="824"/>
      <c r="B4" s="826"/>
      <c r="C4" s="826"/>
      <c r="D4" s="816"/>
      <c r="E4" s="816"/>
      <c r="F4" s="815" t="s">
        <v>151</v>
      </c>
      <c r="G4" s="818" t="s">
        <v>93</v>
      </c>
      <c r="H4" s="818"/>
      <c r="I4" s="818"/>
      <c r="J4" s="818"/>
      <c r="K4" s="818"/>
      <c r="L4" s="818"/>
      <c r="M4" s="818"/>
      <c r="N4" s="815" t="s">
        <v>152</v>
      </c>
      <c r="O4" s="503" t="s">
        <v>93</v>
      </c>
    </row>
    <row r="5" spans="1:15" ht="12.75">
      <c r="A5" s="824"/>
      <c r="B5" s="826"/>
      <c r="C5" s="826"/>
      <c r="D5" s="816"/>
      <c r="E5" s="816"/>
      <c r="F5" s="815"/>
      <c r="G5" s="820" t="s">
        <v>153</v>
      </c>
      <c r="H5" s="818" t="s">
        <v>93</v>
      </c>
      <c r="I5" s="818"/>
      <c r="J5" s="822" t="s">
        <v>421</v>
      </c>
      <c r="K5" s="810" t="s">
        <v>154</v>
      </c>
      <c r="L5" s="810" t="s">
        <v>155</v>
      </c>
      <c r="M5" s="810" t="s">
        <v>156</v>
      </c>
      <c r="N5" s="815"/>
      <c r="O5" s="813" t="s">
        <v>157</v>
      </c>
    </row>
    <row r="6" spans="1:15" ht="80.25" customHeight="1" thickBot="1">
      <c r="A6" s="825"/>
      <c r="B6" s="827"/>
      <c r="C6" s="827"/>
      <c r="D6" s="817"/>
      <c r="E6" s="817"/>
      <c r="F6" s="819"/>
      <c r="G6" s="821"/>
      <c r="H6" s="311" t="s">
        <v>158</v>
      </c>
      <c r="I6" s="311" t="s">
        <v>159</v>
      </c>
      <c r="J6" s="823"/>
      <c r="K6" s="812"/>
      <c r="L6" s="811"/>
      <c r="M6" s="812"/>
      <c r="N6" s="819"/>
      <c r="O6" s="814"/>
    </row>
    <row r="7" spans="1:15" ht="14.25" thickBot="1" thickTop="1">
      <c r="A7" s="619">
        <v>1</v>
      </c>
      <c r="B7" s="619">
        <v>2</v>
      </c>
      <c r="C7" s="619">
        <v>3</v>
      </c>
      <c r="D7" s="620">
        <v>4</v>
      </c>
      <c r="E7" s="621">
        <v>5</v>
      </c>
      <c r="F7" s="622">
        <v>6</v>
      </c>
      <c r="G7" s="621">
        <v>7</v>
      </c>
      <c r="H7" s="621">
        <v>8</v>
      </c>
      <c r="I7" s="621">
        <v>9</v>
      </c>
      <c r="J7" s="621"/>
      <c r="K7" s="621">
        <v>10</v>
      </c>
      <c r="L7" s="621">
        <v>11</v>
      </c>
      <c r="M7" s="621">
        <v>12</v>
      </c>
      <c r="N7" s="621">
        <v>13</v>
      </c>
      <c r="O7" s="621">
        <v>14</v>
      </c>
    </row>
    <row r="8" spans="1:15" ht="12.75">
      <c r="A8" s="615">
        <v>10</v>
      </c>
      <c r="B8" s="616"/>
      <c r="C8" s="617"/>
      <c r="D8" s="424" t="s">
        <v>160</v>
      </c>
      <c r="E8" s="465">
        <f>SUM(F8+N8)</f>
        <v>20000</v>
      </c>
      <c r="F8" s="465">
        <f>SUM(J8:M8)+G8</f>
        <v>20000</v>
      </c>
      <c r="G8" s="465">
        <f>SUM(H8:I8)</f>
        <v>20000</v>
      </c>
      <c r="H8" s="618">
        <f aca="true" t="shared" si="0" ref="H8:O8">SUM(H9+H11)</f>
        <v>0</v>
      </c>
      <c r="I8" s="618">
        <f t="shared" si="0"/>
        <v>20000</v>
      </c>
      <c r="J8" s="618">
        <f t="shared" si="0"/>
        <v>0</v>
      </c>
      <c r="K8" s="618">
        <f t="shared" si="0"/>
        <v>0</v>
      </c>
      <c r="L8" s="618">
        <f t="shared" si="0"/>
        <v>0</v>
      </c>
      <c r="M8" s="618">
        <f t="shared" si="0"/>
        <v>0</v>
      </c>
      <c r="N8" s="618">
        <f t="shared" si="0"/>
        <v>0</v>
      </c>
      <c r="O8" s="618">
        <f t="shared" si="0"/>
        <v>0</v>
      </c>
    </row>
    <row r="9" spans="1:15" ht="12.75">
      <c r="A9" s="504"/>
      <c r="B9" s="505">
        <v>1030</v>
      </c>
      <c r="C9" s="507"/>
      <c r="D9" s="387" t="s">
        <v>422</v>
      </c>
      <c r="E9" s="26">
        <f>SUM(F9+N9)</f>
        <v>10700</v>
      </c>
      <c r="F9" s="26">
        <f>SUM(J9:M9)+G9</f>
        <v>10700</v>
      </c>
      <c r="G9" s="26">
        <f>SUM(H9:I9)</f>
        <v>10700</v>
      </c>
      <c r="H9" s="29">
        <f aca="true" t="shared" si="1" ref="H9:O9">SUM(H10)</f>
        <v>0</v>
      </c>
      <c r="I9" s="29">
        <f t="shared" si="1"/>
        <v>10700</v>
      </c>
      <c r="J9" s="29">
        <f t="shared" si="1"/>
        <v>0</v>
      </c>
      <c r="K9" s="29">
        <f t="shared" si="1"/>
        <v>0</v>
      </c>
      <c r="L9" s="29">
        <f t="shared" si="1"/>
        <v>0</v>
      </c>
      <c r="M9" s="29">
        <f t="shared" si="1"/>
        <v>0</v>
      </c>
      <c r="N9" s="29">
        <f t="shared" si="1"/>
        <v>0</v>
      </c>
      <c r="O9" s="29">
        <f t="shared" si="1"/>
        <v>0</v>
      </c>
    </row>
    <row r="10" spans="1:15" ht="33.75">
      <c r="A10" s="504"/>
      <c r="B10" s="506"/>
      <c r="C10" s="507">
        <v>2850</v>
      </c>
      <c r="D10" s="14" t="s">
        <v>423</v>
      </c>
      <c r="E10" s="21">
        <f>SUM(F10+N10)</f>
        <v>10700</v>
      </c>
      <c r="F10" s="21">
        <f>SUM(J10:M10)+G10</f>
        <v>10700</v>
      </c>
      <c r="G10" s="21">
        <f>SUM(H10:I10)</f>
        <v>10700</v>
      </c>
      <c r="H10" s="21"/>
      <c r="I10" s="21">
        <v>10700</v>
      </c>
      <c r="J10" s="21"/>
      <c r="K10" s="21"/>
      <c r="L10" s="21"/>
      <c r="M10" s="21"/>
      <c r="N10" s="10"/>
      <c r="O10" s="10"/>
    </row>
    <row r="11" spans="1:15" ht="12.75">
      <c r="A11" s="504"/>
      <c r="B11" s="505">
        <v>1095</v>
      </c>
      <c r="C11" s="508"/>
      <c r="D11" s="513" t="s">
        <v>90</v>
      </c>
      <c r="E11" s="26">
        <f aca="true" t="shared" si="2" ref="E11:E60">SUM(F11+N11)</f>
        <v>9300</v>
      </c>
      <c r="F11" s="26">
        <f aca="true" t="shared" si="3" ref="F11:F60">SUM(J11:M11)+G11</f>
        <v>9300</v>
      </c>
      <c r="G11" s="26">
        <f aca="true" t="shared" si="4" ref="G11:G60">SUM(H11:I11)</f>
        <v>9300</v>
      </c>
      <c r="H11" s="25">
        <f aca="true" t="shared" si="5" ref="H11:O11">SUM(H12:H13)</f>
        <v>0</v>
      </c>
      <c r="I11" s="25">
        <f t="shared" si="5"/>
        <v>9300</v>
      </c>
      <c r="J11" s="25">
        <f t="shared" si="5"/>
        <v>0</v>
      </c>
      <c r="K11" s="25">
        <f t="shared" si="5"/>
        <v>0</v>
      </c>
      <c r="L11" s="25">
        <f t="shared" si="5"/>
        <v>0</v>
      </c>
      <c r="M11" s="25">
        <f t="shared" si="5"/>
        <v>0</v>
      </c>
      <c r="N11" s="25">
        <f t="shared" si="5"/>
        <v>0</v>
      </c>
      <c r="O11" s="25">
        <f t="shared" si="5"/>
        <v>0</v>
      </c>
    </row>
    <row r="12" spans="1:15" ht="12.75">
      <c r="A12" s="504"/>
      <c r="B12" s="506"/>
      <c r="C12" s="507">
        <v>4210</v>
      </c>
      <c r="D12" s="13" t="s">
        <v>308</v>
      </c>
      <c r="E12" s="21">
        <f t="shared" si="2"/>
        <v>4000</v>
      </c>
      <c r="F12" s="21">
        <f t="shared" si="3"/>
        <v>4000</v>
      </c>
      <c r="G12" s="21">
        <f t="shared" si="4"/>
        <v>4000</v>
      </c>
      <c r="H12" s="21"/>
      <c r="I12" s="21">
        <v>4000</v>
      </c>
      <c r="J12" s="21"/>
      <c r="K12" s="21"/>
      <c r="L12" s="21"/>
      <c r="M12" s="21"/>
      <c r="N12" s="10"/>
      <c r="O12" s="10"/>
    </row>
    <row r="13" spans="1:15" ht="12.75">
      <c r="A13" s="504"/>
      <c r="B13" s="506"/>
      <c r="C13" s="507">
        <v>4300</v>
      </c>
      <c r="D13" s="13" t="s">
        <v>318</v>
      </c>
      <c r="E13" s="21">
        <f t="shared" si="2"/>
        <v>5300</v>
      </c>
      <c r="F13" s="21">
        <f t="shared" si="3"/>
        <v>5300</v>
      </c>
      <c r="G13" s="21">
        <f t="shared" si="4"/>
        <v>5300</v>
      </c>
      <c r="H13" s="21"/>
      <c r="I13" s="21">
        <v>5300</v>
      </c>
      <c r="J13" s="21"/>
      <c r="K13" s="21"/>
      <c r="L13" s="21"/>
      <c r="M13" s="21"/>
      <c r="N13" s="10"/>
      <c r="O13" s="10"/>
    </row>
    <row r="14" spans="1:15" ht="12.75">
      <c r="A14" s="523">
        <v>600</v>
      </c>
      <c r="B14" s="524"/>
      <c r="C14" s="507"/>
      <c r="D14" s="513" t="s">
        <v>96</v>
      </c>
      <c r="E14" s="26">
        <f t="shared" si="2"/>
        <v>14944608.19</v>
      </c>
      <c r="F14" s="26">
        <f t="shared" si="3"/>
        <v>4100000</v>
      </c>
      <c r="G14" s="26">
        <f t="shared" si="4"/>
        <v>4100000</v>
      </c>
      <c r="H14" s="25">
        <f aca="true" t="shared" si="6" ref="H14:N14">SUM(H15+H17)</f>
        <v>100000</v>
      </c>
      <c r="I14" s="25">
        <f t="shared" si="6"/>
        <v>4000000</v>
      </c>
      <c r="J14" s="25">
        <f t="shared" si="6"/>
        <v>0</v>
      </c>
      <c r="K14" s="25">
        <f t="shared" si="6"/>
        <v>0</v>
      </c>
      <c r="L14" s="25">
        <f t="shared" si="6"/>
        <v>0</v>
      </c>
      <c r="M14" s="25">
        <f t="shared" si="6"/>
        <v>0</v>
      </c>
      <c r="N14" s="25">
        <f t="shared" si="6"/>
        <v>10844608.19</v>
      </c>
      <c r="O14" s="25">
        <f>SUM(O15+O17)</f>
        <v>10844608.19</v>
      </c>
    </row>
    <row r="15" spans="1:15" ht="12.75">
      <c r="A15" s="504"/>
      <c r="B15" s="505">
        <v>60004</v>
      </c>
      <c r="C15" s="508"/>
      <c r="D15" s="513" t="s">
        <v>424</v>
      </c>
      <c r="E15" s="26">
        <f t="shared" si="2"/>
        <v>1600000</v>
      </c>
      <c r="F15" s="26">
        <f t="shared" si="3"/>
        <v>1600000</v>
      </c>
      <c r="G15" s="26">
        <f t="shared" si="4"/>
        <v>1600000</v>
      </c>
      <c r="H15" s="25">
        <f aca="true" t="shared" si="7" ref="H15:O15">SUM(H16)</f>
        <v>0</v>
      </c>
      <c r="I15" s="25">
        <f t="shared" si="7"/>
        <v>1600000</v>
      </c>
      <c r="J15" s="25">
        <f t="shared" si="7"/>
        <v>0</v>
      </c>
      <c r="K15" s="25">
        <f t="shared" si="7"/>
        <v>0</v>
      </c>
      <c r="L15" s="25">
        <f t="shared" si="7"/>
        <v>0</v>
      </c>
      <c r="M15" s="25">
        <f t="shared" si="7"/>
        <v>0</v>
      </c>
      <c r="N15" s="25">
        <f t="shared" si="7"/>
        <v>0</v>
      </c>
      <c r="O15" s="25">
        <f t="shared" si="7"/>
        <v>0</v>
      </c>
    </row>
    <row r="16" spans="1:15" ht="12.75">
      <c r="A16" s="504"/>
      <c r="B16" s="506"/>
      <c r="C16" s="507">
        <v>4300</v>
      </c>
      <c r="D16" s="13" t="s">
        <v>318</v>
      </c>
      <c r="E16" s="21">
        <f t="shared" si="2"/>
        <v>1600000</v>
      </c>
      <c r="F16" s="21">
        <f t="shared" si="3"/>
        <v>1600000</v>
      </c>
      <c r="G16" s="21">
        <f t="shared" si="4"/>
        <v>1600000</v>
      </c>
      <c r="H16" s="119"/>
      <c r="I16" s="263">
        <v>1600000</v>
      </c>
      <c r="J16" s="119"/>
      <c r="K16" s="119"/>
      <c r="L16" s="119"/>
      <c r="M16" s="119"/>
      <c r="N16" s="10"/>
      <c r="O16" s="10"/>
    </row>
    <row r="17" spans="1:15" ht="12.75">
      <c r="A17" s="504"/>
      <c r="B17" s="505">
        <v>60016</v>
      </c>
      <c r="C17" s="508"/>
      <c r="D17" s="513" t="s">
        <v>119</v>
      </c>
      <c r="E17" s="26">
        <f t="shared" si="2"/>
        <v>13344608.19</v>
      </c>
      <c r="F17" s="26">
        <f t="shared" si="3"/>
        <v>2500000</v>
      </c>
      <c r="G17" s="26">
        <f t="shared" si="4"/>
        <v>2500000</v>
      </c>
      <c r="H17" s="25">
        <f>SUM(H18:H24)</f>
        <v>100000</v>
      </c>
      <c r="I17" s="25">
        <f aca="true" t="shared" si="8" ref="I17:O17">SUM(I19:I24)</f>
        <v>2400000</v>
      </c>
      <c r="J17" s="25">
        <f t="shared" si="8"/>
        <v>0</v>
      </c>
      <c r="K17" s="25">
        <f t="shared" si="8"/>
        <v>0</v>
      </c>
      <c r="L17" s="25">
        <f t="shared" si="8"/>
        <v>0</v>
      </c>
      <c r="M17" s="25">
        <f t="shared" si="8"/>
        <v>0</v>
      </c>
      <c r="N17" s="25">
        <f t="shared" si="8"/>
        <v>10844608.19</v>
      </c>
      <c r="O17" s="25">
        <f t="shared" si="8"/>
        <v>10844608.19</v>
      </c>
    </row>
    <row r="18" spans="1:15" ht="12.75">
      <c r="A18" s="504"/>
      <c r="B18" s="505"/>
      <c r="C18" s="510">
        <v>4170</v>
      </c>
      <c r="D18" s="27" t="s">
        <v>402</v>
      </c>
      <c r="E18" s="21">
        <f>SUM(F18+N18)</f>
        <v>100000</v>
      </c>
      <c r="F18" s="21">
        <f>SUM(J18:M18)+G18</f>
        <v>100000</v>
      </c>
      <c r="G18" s="21">
        <f>SUM(H18:I18)</f>
        <v>100000</v>
      </c>
      <c r="H18" s="28">
        <v>100000</v>
      </c>
      <c r="I18" s="28"/>
      <c r="J18" s="28"/>
      <c r="K18" s="28"/>
      <c r="L18" s="28"/>
      <c r="M18" s="25"/>
      <c r="N18" s="25"/>
      <c r="O18" s="25"/>
    </row>
    <row r="19" spans="1:15" ht="12.75">
      <c r="A19" s="504"/>
      <c r="B19" s="506"/>
      <c r="C19" s="507">
        <v>4210</v>
      </c>
      <c r="D19" s="13" t="s">
        <v>308</v>
      </c>
      <c r="E19" s="21">
        <f t="shared" si="2"/>
        <v>389623</v>
      </c>
      <c r="F19" s="21">
        <f t="shared" si="3"/>
        <v>389623</v>
      </c>
      <c r="G19" s="21">
        <f t="shared" si="4"/>
        <v>389623</v>
      </c>
      <c r="H19" s="28"/>
      <c r="I19" s="28">
        <f>510388-120765</f>
        <v>389623</v>
      </c>
      <c r="J19" s="28"/>
      <c r="K19" s="28"/>
      <c r="L19" s="28"/>
      <c r="M19" s="28"/>
      <c r="N19" s="263"/>
      <c r="O19" s="263"/>
    </row>
    <row r="20" spans="1:15" ht="12.75">
      <c r="A20" s="504"/>
      <c r="B20" s="506"/>
      <c r="C20" s="507">
        <v>4270</v>
      </c>
      <c r="D20" s="13" t="s">
        <v>299</v>
      </c>
      <c r="E20" s="21">
        <f t="shared" si="2"/>
        <v>693371</v>
      </c>
      <c r="F20" s="21">
        <f t="shared" si="3"/>
        <v>693371</v>
      </c>
      <c r="G20" s="21">
        <f t="shared" si="4"/>
        <v>693371</v>
      </c>
      <c r="H20" s="28"/>
      <c r="I20" s="263">
        <f>793371-100000</f>
        <v>693371</v>
      </c>
      <c r="J20" s="263"/>
      <c r="K20" s="263"/>
      <c r="L20" s="263"/>
      <c r="M20" s="263"/>
      <c r="N20" s="263"/>
      <c r="O20" s="263"/>
    </row>
    <row r="21" spans="1:15" ht="12.75">
      <c r="A21" s="504"/>
      <c r="B21" s="506"/>
      <c r="C21" s="507">
        <v>4300</v>
      </c>
      <c r="D21" s="13" t="s">
        <v>318</v>
      </c>
      <c r="E21" s="21">
        <f t="shared" si="2"/>
        <v>1317006</v>
      </c>
      <c r="F21" s="21">
        <f t="shared" si="3"/>
        <v>1317006</v>
      </c>
      <c r="G21" s="21">
        <f t="shared" si="4"/>
        <v>1317006</v>
      </c>
      <c r="H21" s="263"/>
      <c r="I21" s="263">
        <f>1717006-600000+200000</f>
        <v>1317006</v>
      </c>
      <c r="J21" s="263"/>
      <c r="K21" s="263"/>
      <c r="L21" s="263"/>
      <c r="M21" s="263"/>
      <c r="N21" s="263"/>
      <c r="O21" s="263"/>
    </row>
    <row r="22" spans="1:15" ht="12.75">
      <c r="A22" s="504"/>
      <c r="B22" s="506"/>
      <c r="C22" s="507">
        <v>6050</v>
      </c>
      <c r="D22" s="13" t="s">
        <v>309</v>
      </c>
      <c r="E22" s="21">
        <f t="shared" si="2"/>
        <v>7917400</v>
      </c>
      <c r="F22" s="21">
        <f t="shared" si="3"/>
        <v>0</v>
      </c>
      <c r="G22" s="21">
        <f t="shared" si="4"/>
        <v>0</v>
      </c>
      <c r="H22" s="263"/>
      <c r="I22" s="263">
        <v>0</v>
      </c>
      <c r="J22" s="263"/>
      <c r="K22" s="263"/>
      <c r="L22" s="263"/>
      <c r="M22" s="263"/>
      <c r="N22" s="263">
        <v>7917400</v>
      </c>
      <c r="O22" s="263">
        <v>7917400</v>
      </c>
    </row>
    <row r="23" spans="1:15" ht="12.75">
      <c r="A23" s="504"/>
      <c r="B23" s="506"/>
      <c r="C23" s="507">
        <v>6057</v>
      </c>
      <c r="D23" s="13" t="s">
        <v>309</v>
      </c>
      <c r="E23" s="21">
        <f t="shared" si="2"/>
        <v>2195406.16</v>
      </c>
      <c r="F23" s="21">
        <f t="shared" si="3"/>
        <v>0</v>
      </c>
      <c r="G23" s="21">
        <f t="shared" si="4"/>
        <v>0</v>
      </c>
      <c r="H23" s="263"/>
      <c r="I23" s="263"/>
      <c r="J23" s="263"/>
      <c r="K23" s="263"/>
      <c r="L23" s="263"/>
      <c r="M23" s="263"/>
      <c r="N23" s="263">
        <v>2195406.16</v>
      </c>
      <c r="O23" s="263">
        <v>2195406.16</v>
      </c>
    </row>
    <row r="24" spans="1:15" ht="12.75">
      <c r="A24" s="504"/>
      <c r="B24" s="506"/>
      <c r="C24" s="507">
        <v>6059</v>
      </c>
      <c r="D24" s="13" t="s">
        <v>309</v>
      </c>
      <c r="E24" s="21">
        <f t="shared" si="2"/>
        <v>731802.03</v>
      </c>
      <c r="F24" s="21">
        <f t="shared" si="3"/>
        <v>0</v>
      </c>
      <c r="G24" s="21">
        <f t="shared" si="4"/>
        <v>0</v>
      </c>
      <c r="H24" s="263"/>
      <c r="I24" s="263">
        <v>0</v>
      </c>
      <c r="J24" s="263"/>
      <c r="K24" s="263"/>
      <c r="L24" s="263"/>
      <c r="M24" s="263"/>
      <c r="N24" s="263">
        <v>731802.03</v>
      </c>
      <c r="O24" s="263">
        <v>731802.03</v>
      </c>
    </row>
    <row r="25" spans="1:15" ht="12.75">
      <c r="A25" s="523">
        <v>700</v>
      </c>
      <c r="B25" s="524"/>
      <c r="C25" s="507"/>
      <c r="D25" s="513" t="s">
        <v>91</v>
      </c>
      <c r="E25" s="26">
        <f t="shared" si="2"/>
        <v>1968040</v>
      </c>
      <c r="F25" s="26">
        <f t="shared" si="3"/>
        <v>1001040</v>
      </c>
      <c r="G25" s="26">
        <f t="shared" si="4"/>
        <v>1001040</v>
      </c>
      <c r="H25" s="25">
        <f aca="true" t="shared" si="9" ref="H25:O25">SUM(H26+H30)</f>
        <v>0</v>
      </c>
      <c r="I25" s="25">
        <f t="shared" si="9"/>
        <v>1001040</v>
      </c>
      <c r="J25" s="25">
        <f t="shared" si="9"/>
        <v>0</v>
      </c>
      <c r="K25" s="25">
        <f t="shared" si="9"/>
        <v>0</v>
      </c>
      <c r="L25" s="25">
        <f t="shared" si="9"/>
        <v>0</v>
      </c>
      <c r="M25" s="25">
        <f t="shared" si="9"/>
        <v>0</v>
      </c>
      <c r="N25" s="25">
        <f t="shared" si="9"/>
        <v>967000</v>
      </c>
      <c r="O25" s="25">
        <f t="shared" si="9"/>
        <v>967000</v>
      </c>
    </row>
    <row r="26" spans="1:15" ht="12.75">
      <c r="A26" s="504"/>
      <c r="B26" s="505">
        <v>70005</v>
      </c>
      <c r="C26" s="508"/>
      <c r="D26" s="387" t="s">
        <v>425</v>
      </c>
      <c r="E26" s="26">
        <f t="shared" si="2"/>
        <v>601040</v>
      </c>
      <c r="F26" s="26">
        <f t="shared" si="3"/>
        <v>301040</v>
      </c>
      <c r="G26" s="26">
        <f t="shared" si="4"/>
        <v>301040</v>
      </c>
      <c r="H26" s="29">
        <f aca="true" t="shared" si="10" ref="H26:O26">SUM(H27:H29)</f>
        <v>0</v>
      </c>
      <c r="I26" s="29">
        <f t="shared" si="10"/>
        <v>301040</v>
      </c>
      <c r="J26" s="29">
        <f t="shared" si="10"/>
        <v>0</v>
      </c>
      <c r="K26" s="29">
        <f t="shared" si="10"/>
        <v>0</v>
      </c>
      <c r="L26" s="29">
        <f t="shared" si="10"/>
        <v>0</v>
      </c>
      <c r="M26" s="29">
        <f t="shared" si="10"/>
        <v>0</v>
      </c>
      <c r="N26" s="29">
        <f t="shared" si="10"/>
        <v>300000</v>
      </c>
      <c r="O26" s="29">
        <f t="shared" si="10"/>
        <v>300000</v>
      </c>
    </row>
    <row r="27" spans="1:15" ht="12.75">
      <c r="A27" s="504"/>
      <c r="B27" s="506"/>
      <c r="C27" s="507">
        <v>4300</v>
      </c>
      <c r="D27" s="14" t="s">
        <v>318</v>
      </c>
      <c r="E27" s="21">
        <f t="shared" si="2"/>
        <v>251040</v>
      </c>
      <c r="F27" s="21">
        <f t="shared" si="3"/>
        <v>251040</v>
      </c>
      <c r="G27" s="21">
        <f t="shared" si="4"/>
        <v>251040</v>
      </c>
      <c r="H27" s="28"/>
      <c r="I27" s="28">
        <v>251040</v>
      </c>
      <c r="J27" s="28"/>
      <c r="K27" s="28"/>
      <c r="L27" s="28"/>
      <c r="M27" s="28"/>
      <c r="N27" s="603"/>
      <c r="O27" s="603"/>
    </row>
    <row r="28" spans="1:15" ht="22.5">
      <c r="A28" s="504"/>
      <c r="B28" s="506"/>
      <c r="C28" s="507">
        <v>4590</v>
      </c>
      <c r="D28" s="14" t="s">
        <v>426</v>
      </c>
      <c r="E28" s="21">
        <f t="shared" si="2"/>
        <v>50000</v>
      </c>
      <c r="F28" s="21">
        <f t="shared" si="3"/>
        <v>50000</v>
      </c>
      <c r="G28" s="21">
        <f t="shared" si="4"/>
        <v>50000</v>
      </c>
      <c r="H28" s="263"/>
      <c r="I28" s="263">
        <v>50000</v>
      </c>
      <c r="J28" s="263"/>
      <c r="K28" s="263"/>
      <c r="L28" s="263" t="s">
        <v>60</v>
      </c>
      <c r="M28" s="263"/>
      <c r="N28" s="263"/>
      <c r="O28" s="263"/>
    </row>
    <row r="29" spans="1:15" ht="22.5">
      <c r="A29" s="504"/>
      <c r="B29" s="506"/>
      <c r="C29" s="507">
        <v>6060</v>
      </c>
      <c r="D29" s="14" t="s">
        <v>427</v>
      </c>
      <c r="E29" s="21">
        <f t="shared" si="2"/>
        <v>300000</v>
      </c>
      <c r="F29" s="21">
        <f t="shared" si="3"/>
        <v>0</v>
      </c>
      <c r="G29" s="21">
        <f t="shared" si="4"/>
        <v>0</v>
      </c>
      <c r="H29" s="263"/>
      <c r="I29" s="263">
        <v>0</v>
      </c>
      <c r="J29" s="263"/>
      <c r="K29" s="263"/>
      <c r="L29" s="263"/>
      <c r="M29" s="263"/>
      <c r="N29" s="263">
        <v>300000</v>
      </c>
      <c r="O29" s="263">
        <v>300000</v>
      </c>
    </row>
    <row r="30" spans="1:15" ht="12.75">
      <c r="A30" s="504"/>
      <c r="B30" s="505">
        <v>70095</v>
      </c>
      <c r="C30" s="508"/>
      <c r="D30" s="387" t="s">
        <v>161</v>
      </c>
      <c r="E30" s="26">
        <f t="shared" si="2"/>
        <v>1367000</v>
      </c>
      <c r="F30" s="26">
        <f t="shared" si="3"/>
        <v>700000</v>
      </c>
      <c r="G30" s="26">
        <f t="shared" si="4"/>
        <v>700000</v>
      </c>
      <c r="H30" s="29">
        <f aca="true" t="shared" si="11" ref="H30:O30">SUM(H31:H36)</f>
        <v>0</v>
      </c>
      <c r="I30" s="29">
        <f t="shared" si="11"/>
        <v>700000</v>
      </c>
      <c r="J30" s="29">
        <f t="shared" si="11"/>
        <v>0</v>
      </c>
      <c r="K30" s="29">
        <f t="shared" si="11"/>
        <v>0</v>
      </c>
      <c r="L30" s="29">
        <f t="shared" si="11"/>
        <v>0</v>
      </c>
      <c r="M30" s="29">
        <f t="shared" si="11"/>
        <v>0</v>
      </c>
      <c r="N30" s="29">
        <f t="shared" si="11"/>
        <v>667000</v>
      </c>
      <c r="O30" s="29">
        <f t="shared" si="11"/>
        <v>667000</v>
      </c>
    </row>
    <row r="31" spans="1:15" ht="12.75">
      <c r="A31" s="504"/>
      <c r="B31" s="505"/>
      <c r="C31" s="510">
        <v>4210</v>
      </c>
      <c r="D31" s="13" t="s">
        <v>308</v>
      </c>
      <c r="E31" s="21">
        <f t="shared" si="2"/>
        <v>10000</v>
      </c>
      <c r="F31" s="21">
        <f t="shared" si="3"/>
        <v>10000</v>
      </c>
      <c r="G31" s="21">
        <f t="shared" si="4"/>
        <v>10000</v>
      </c>
      <c r="H31" s="28"/>
      <c r="I31" s="28">
        <v>10000</v>
      </c>
      <c r="J31" s="28"/>
      <c r="K31" s="28"/>
      <c r="L31" s="28"/>
      <c r="M31" s="28"/>
      <c r="N31" s="603"/>
      <c r="O31" s="603"/>
    </row>
    <row r="32" spans="1:15" ht="12.75">
      <c r="A32" s="504"/>
      <c r="B32" s="505"/>
      <c r="C32" s="507">
        <v>4260</v>
      </c>
      <c r="D32" s="14" t="s">
        <v>408</v>
      </c>
      <c r="E32" s="21">
        <f t="shared" si="2"/>
        <v>20000</v>
      </c>
      <c r="F32" s="21">
        <f t="shared" si="3"/>
        <v>20000</v>
      </c>
      <c r="G32" s="21">
        <f t="shared" si="4"/>
        <v>20000</v>
      </c>
      <c r="H32" s="28"/>
      <c r="I32" s="28">
        <v>20000</v>
      </c>
      <c r="J32" s="28"/>
      <c r="K32" s="28"/>
      <c r="L32" s="28"/>
      <c r="M32" s="28"/>
      <c r="N32" s="603"/>
      <c r="O32" s="603"/>
    </row>
    <row r="33" spans="1:15" ht="12.75">
      <c r="A33" s="504"/>
      <c r="B33" s="505"/>
      <c r="C33" s="507">
        <v>4270</v>
      </c>
      <c r="D33" s="13" t="s">
        <v>299</v>
      </c>
      <c r="E33" s="21">
        <f t="shared" si="2"/>
        <v>630000</v>
      </c>
      <c r="F33" s="21">
        <f t="shared" si="3"/>
        <v>630000</v>
      </c>
      <c r="G33" s="21">
        <f t="shared" si="4"/>
        <v>630000</v>
      </c>
      <c r="H33" s="263"/>
      <c r="I33" s="263">
        <f>1100000-470000</f>
        <v>630000</v>
      </c>
      <c r="J33" s="263"/>
      <c r="K33" s="263"/>
      <c r="L33" s="263"/>
      <c r="M33" s="263"/>
      <c r="N33" s="603"/>
      <c r="O33" s="603"/>
    </row>
    <row r="34" spans="1:15" ht="12.75">
      <c r="A34" s="504"/>
      <c r="B34" s="505"/>
      <c r="C34" s="507">
        <v>4300</v>
      </c>
      <c r="D34" s="13" t="s">
        <v>318</v>
      </c>
      <c r="E34" s="21">
        <f t="shared" si="2"/>
        <v>30000</v>
      </c>
      <c r="F34" s="21">
        <f t="shared" si="3"/>
        <v>30000</v>
      </c>
      <c r="G34" s="21">
        <f t="shared" si="4"/>
        <v>30000</v>
      </c>
      <c r="H34" s="263"/>
      <c r="I34" s="263">
        <v>30000</v>
      </c>
      <c r="J34" s="263"/>
      <c r="K34" s="263"/>
      <c r="L34" s="263"/>
      <c r="M34" s="263"/>
      <c r="N34" s="603"/>
      <c r="O34" s="603"/>
    </row>
    <row r="35" spans="1:15" ht="12.75">
      <c r="A35" s="504"/>
      <c r="B35" s="505"/>
      <c r="C35" s="507">
        <v>4610</v>
      </c>
      <c r="D35" s="14" t="s">
        <v>428</v>
      </c>
      <c r="E35" s="21">
        <f t="shared" si="2"/>
        <v>10000</v>
      </c>
      <c r="F35" s="21">
        <f t="shared" si="3"/>
        <v>10000</v>
      </c>
      <c r="G35" s="21">
        <f t="shared" si="4"/>
        <v>10000</v>
      </c>
      <c r="H35" s="263"/>
      <c r="I35" s="263">
        <v>10000</v>
      </c>
      <c r="J35" s="263"/>
      <c r="K35" s="263"/>
      <c r="L35" s="263"/>
      <c r="M35" s="263"/>
      <c r="N35" s="603"/>
      <c r="O35" s="603"/>
    </row>
    <row r="36" spans="1:15" ht="12.75">
      <c r="A36" s="504"/>
      <c r="B36" s="505"/>
      <c r="C36" s="507">
        <v>6050</v>
      </c>
      <c r="D36" s="14" t="s">
        <v>309</v>
      </c>
      <c r="E36" s="21">
        <f t="shared" si="2"/>
        <v>667000</v>
      </c>
      <c r="F36" s="21">
        <f t="shared" si="3"/>
        <v>0</v>
      </c>
      <c r="G36" s="21">
        <f t="shared" si="4"/>
        <v>0</v>
      </c>
      <c r="H36" s="263"/>
      <c r="I36" s="263">
        <v>0</v>
      </c>
      <c r="J36" s="263"/>
      <c r="K36" s="263"/>
      <c r="L36" s="263"/>
      <c r="M36" s="263"/>
      <c r="N36" s="263">
        <v>667000</v>
      </c>
      <c r="O36" s="263">
        <v>667000</v>
      </c>
    </row>
    <row r="37" spans="1:15" ht="12.75">
      <c r="A37" s="523">
        <v>710</v>
      </c>
      <c r="B37" s="524"/>
      <c r="C37" s="507"/>
      <c r="D37" s="513" t="s">
        <v>162</v>
      </c>
      <c r="E37" s="26">
        <f t="shared" si="2"/>
        <v>473950</v>
      </c>
      <c r="F37" s="26">
        <f t="shared" si="3"/>
        <v>473950</v>
      </c>
      <c r="G37" s="26">
        <f t="shared" si="4"/>
        <v>472750</v>
      </c>
      <c r="H37" s="25">
        <f aca="true" t="shared" si="12" ref="H37:O37">SUM(H38+H43)</f>
        <v>9000</v>
      </c>
      <c r="I37" s="25">
        <f t="shared" si="12"/>
        <v>463750</v>
      </c>
      <c r="J37" s="25">
        <f t="shared" si="12"/>
        <v>0</v>
      </c>
      <c r="K37" s="25">
        <f t="shared" si="12"/>
        <v>1200</v>
      </c>
      <c r="L37" s="25">
        <f t="shared" si="12"/>
        <v>0</v>
      </c>
      <c r="M37" s="25">
        <f t="shared" si="12"/>
        <v>0</v>
      </c>
      <c r="N37" s="25">
        <f t="shared" si="12"/>
        <v>0</v>
      </c>
      <c r="O37" s="25">
        <f t="shared" si="12"/>
        <v>0</v>
      </c>
    </row>
    <row r="38" spans="1:15" ht="12.75">
      <c r="A38" s="504"/>
      <c r="B38" s="505">
        <v>71004</v>
      </c>
      <c r="C38" s="508"/>
      <c r="D38" s="387" t="s">
        <v>163</v>
      </c>
      <c r="E38" s="26">
        <f t="shared" si="2"/>
        <v>448950</v>
      </c>
      <c r="F38" s="26">
        <f t="shared" si="3"/>
        <v>448950</v>
      </c>
      <c r="G38" s="26">
        <f t="shared" si="4"/>
        <v>447750</v>
      </c>
      <c r="H38" s="29">
        <f aca="true" t="shared" si="13" ref="H38:O38">SUM(H39:H42)</f>
        <v>9000</v>
      </c>
      <c r="I38" s="29">
        <f t="shared" si="13"/>
        <v>438750</v>
      </c>
      <c r="J38" s="29">
        <f t="shared" si="13"/>
        <v>0</v>
      </c>
      <c r="K38" s="29">
        <f t="shared" si="13"/>
        <v>1200</v>
      </c>
      <c r="L38" s="29">
        <f t="shared" si="13"/>
        <v>0</v>
      </c>
      <c r="M38" s="29">
        <f t="shared" si="13"/>
        <v>0</v>
      </c>
      <c r="N38" s="29">
        <f t="shared" si="13"/>
        <v>0</v>
      </c>
      <c r="O38" s="29">
        <f t="shared" si="13"/>
        <v>0</v>
      </c>
    </row>
    <row r="39" spans="1:15" ht="12.75">
      <c r="A39" s="504"/>
      <c r="B39" s="506"/>
      <c r="C39" s="507">
        <v>3030</v>
      </c>
      <c r="D39" s="14" t="s">
        <v>407</v>
      </c>
      <c r="E39" s="21">
        <f t="shared" si="2"/>
        <v>1200</v>
      </c>
      <c r="F39" s="21">
        <f t="shared" si="3"/>
        <v>1200</v>
      </c>
      <c r="G39" s="21">
        <f t="shared" si="4"/>
        <v>0</v>
      </c>
      <c r="H39" s="263"/>
      <c r="I39" s="263">
        <v>0</v>
      </c>
      <c r="J39" s="263"/>
      <c r="K39" s="263">
        <v>1200</v>
      </c>
      <c r="L39" s="263"/>
      <c r="M39" s="263"/>
      <c r="N39" s="603"/>
      <c r="O39" s="603"/>
    </row>
    <row r="40" spans="1:15" ht="12.75">
      <c r="A40" s="504"/>
      <c r="B40" s="506"/>
      <c r="C40" s="507">
        <v>4170</v>
      </c>
      <c r="D40" s="14" t="s">
        <v>402</v>
      </c>
      <c r="E40" s="21">
        <f t="shared" si="2"/>
        <v>9000</v>
      </c>
      <c r="F40" s="21">
        <f t="shared" si="3"/>
        <v>9000</v>
      </c>
      <c r="G40" s="21">
        <f t="shared" si="4"/>
        <v>9000</v>
      </c>
      <c r="H40" s="263">
        <v>9000</v>
      </c>
      <c r="I40" s="263">
        <v>0</v>
      </c>
      <c r="J40" s="263"/>
      <c r="K40" s="263"/>
      <c r="L40" s="263"/>
      <c r="M40" s="263"/>
      <c r="N40" s="603"/>
      <c r="O40" s="603"/>
    </row>
    <row r="41" spans="1:15" ht="12.75">
      <c r="A41" s="504"/>
      <c r="B41" s="506"/>
      <c r="C41" s="507">
        <v>4210</v>
      </c>
      <c r="D41" s="13" t="s">
        <v>308</v>
      </c>
      <c r="E41" s="21">
        <f t="shared" si="2"/>
        <v>1000</v>
      </c>
      <c r="F41" s="21">
        <f t="shared" si="3"/>
        <v>1000</v>
      </c>
      <c r="G41" s="21">
        <f t="shared" si="4"/>
        <v>1000</v>
      </c>
      <c r="H41" s="263"/>
      <c r="I41" s="263">
        <v>1000</v>
      </c>
      <c r="J41" s="263"/>
      <c r="K41" s="263"/>
      <c r="L41" s="263"/>
      <c r="M41" s="263"/>
      <c r="N41" s="603"/>
      <c r="O41" s="603"/>
    </row>
    <row r="42" spans="1:15" ht="12.75">
      <c r="A42" s="504"/>
      <c r="B42" s="506"/>
      <c r="C42" s="507">
        <v>4300</v>
      </c>
      <c r="D42" s="14" t="s">
        <v>318</v>
      </c>
      <c r="E42" s="21">
        <f t="shared" si="2"/>
        <v>437750</v>
      </c>
      <c r="F42" s="21">
        <f t="shared" si="3"/>
        <v>437750</v>
      </c>
      <c r="G42" s="21">
        <f t="shared" si="4"/>
        <v>437750</v>
      </c>
      <c r="H42" s="28"/>
      <c r="I42" s="28">
        <v>437750</v>
      </c>
      <c r="J42" s="28"/>
      <c r="K42" s="28"/>
      <c r="L42" s="28"/>
      <c r="M42" s="28"/>
      <c r="N42" s="603"/>
      <c r="O42" s="603"/>
    </row>
    <row r="43" spans="1:15" ht="12.75">
      <c r="A43" s="504"/>
      <c r="B43" s="505">
        <v>71035</v>
      </c>
      <c r="C43" s="508"/>
      <c r="D43" s="387" t="s">
        <v>164</v>
      </c>
      <c r="E43" s="26">
        <f t="shared" si="2"/>
        <v>25000</v>
      </c>
      <c r="F43" s="26">
        <f t="shared" si="3"/>
        <v>25000</v>
      </c>
      <c r="G43" s="26">
        <f t="shared" si="4"/>
        <v>25000</v>
      </c>
      <c r="H43" s="29">
        <f aca="true" t="shared" si="14" ref="H43:O43">SUM(H44:H46)</f>
        <v>0</v>
      </c>
      <c r="I43" s="29">
        <f t="shared" si="14"/>
        <v>25000</v>
      </c>
      <c r="J43" s="29">
        <f t="shared" si="14"/>
        <v>0</v>
      </c>
      <c r="K43" s="29">
        <f t="shared" si="14"/>
        <v>0</v>
      </c>
      <c r="L43" s="29">
        <f t="shared" si="14"/>
        <v>0</v>
      </c>
      <c r="M43" s="29">
        <f t="shared" si="14"/>
        <v>0</v>
      </c>
      <c r="N43" s="29">
        <f t="shared" si="14"/>
        <v>0</v>
      </c>
      <c r="O43" s="29">
        <f t="shared" si="14"/>
        <v>0</v>
      </c>
    </row>
    <row r="44" spans="1:15" ht="12.75">
      <c r="A44" s="504"/>
      <c r="B44" s="505"/>
      <c r="C44" s="507">
        <v>4210</v>
      </c>
      <c r="D44" s="13" t="s">
        <v>308</v>
      </c>
      <c r="E44" s="21">
        <f t="shared" si="2"/>
        <v>8000</v>
      </c>
      <c r="F44" s="21">
        <f t="shared" si="3"/>
        <v>8000</v>
      </c>
      <c r="G44" s="21">
        <f t="shared" si="4"/>
        <v>8000</v>
      </c>
      <c r="H44" s="21"/>
      <c r="I44" s="241">
        <v>8000</v>
      </c>
      <c r="J44" s="21"/>
      <c r="K44" s="21"/>
      <c r="L44" s="21"/>
      <c r="M44" s="21"/>
      <c r="N44" s="10"/>
      <c r="O44" s="10"/>
    </row>
    <row r="45" spans="1:15" ht="12.75">
      <c r="A45" s="504"/>
      <c r="B45" s="505"/>
      <c r="C45" s="507">
        <v>4270</v>
      </c>
      <c r="D45" s="13" t="s">
        <v>299</v>
      </c>
      <c r="E45" s="21">
        <f t="shared" si="2"/>
        <v>12000</v>
      </c>
      <c r="F45" s="21">
        <f t="shared" si="3"/>
        <v>12000</v>
      </c>
      <c r="G45" s="21">
        <f t="shared" si="4"/>
        <v>12000</v>
      </c>
      <c r="H45" s="119"/>
      <c r="I45" s="241">
        <v>12000</v>
      </c>
      <c r="J45" s="119"/>
      <c r="K45" s="119"/>
      <c r="L45" s="21"/>
      <c r="M45" s="21"/>
      <c r="N45" s="10"/>
      <c r="O45" s="10"/>
    </row>
    <row r="46" spans="1:15" ht="12.75">
      <c r="A46" s="504"/>
      <c r="B46" s="506"/>
      <c r="C46" s="507">
        <v>4300</v>
      </c>
      <c r="D46" s="14" t="s">
        <v>318</v>
      </c>
      <c r="E46" s="21">
        <f t="shared" si="2"/>
        <v>5000</v>
      </c>
      <c r="F46" s="21">
        <f t="shared" si="3"/>
        <v>5000</v>
      </c>
      <c r="G46" s="21">
        <f t="shared" si="4"/>
        <v>5000</v>
      </c>
      <c r="H46" s="25"/>
      <c r="I46" s="241">
        <v>5000</v>
      </c>
      <c r="J46" s="25"/>
      <c r="K46" s="25"/>
      <c r="L46" s="25"/>
      <c r="M46" s="25"/>
      <c r="N46" s="10"/>
      <c r="O46" s="10"/>
    </row>
    <row r="47" spans="1:15" ht="12.75">
      <c r="A47" s="523">
        <v>750</v>
      </c>
      <c r="B47" s="524"/>
      <c r="C47" s="507"/>
      <c r="D47" s="513" t="s">
        <v>95</v>
      </c>
      <c r="E47" s="26">
        <f t="shared" si="2"/>
        <v>7022229</v>
      </c>
      <c r="F47" s="26">
        <f t="shared" si="3"/>
        <v>6984056</v>
      </c>
      <c r="G47" s="26">
        <f t="shared" si="4"/>
        <v>6547703</v>
      </c>
      <c r="H47" s="25">
        <f aca="true" t="shared" si="15" ref="H47:M47">SUM(H48+H61+H67+H90)</f>
        <v>5181483</v>
      </c>
      <c r="I47" s="25">
        <f t="shared" si="15"/>
        <v>1366220</v>
      </c>
      <c r="J47" s="25">
        <f t="shared" si="15"/>
        <v>0</v>
      </c>
      <c r="K47" s="25">
        <f t="shared" si="15"/>
        <v>415353</v>
      </c>
      <c r="L47" s="25">
        <f t="shared" si="15"/>
        <v>21000</v>
      </c>
      <c r="M47" s="25">
        <f t="shared" si="15"/>
        <v>0</v>
      </c>
      <c r="N47" s="25">
        <f>SUM(N48+N61+N67+N90+N101)</f>
        <v>38173</v>
      </c>
      <c r="O47" s="25">
        <f>SUM(O48+O61+O67+O90)</f>
        <v>5125</v>
      </c>
    </row>
    <row r="48" spans="1:15" ht="12.75">
      <c r="A48" s="504"/>
      <c r="B48" s="505">
        <v>75011</v>
      </c>
      <c r="C48" s="508"/>
      <c r="D48" s="387" t="s">
        <v>165</v>
      </c>
      <c r="E48" s="26">
        <f t="shared" si="2"/>
        <v>458475</v>
      </c>
      <c r="F48" s="26">
        <f t="shared" si="3"/>
        <v>458475</v>
      </c>
      <c r="G48" s="26">
        <f t="shared" si="4"/>
        <v>453475</v>
      </c>
      <c r="H48" s="29">
        <f aca="true" t="shared" si="16" ref="H48:O48">SUM(H49:H60)</f>
        <v>369755</v>
      </c>
      <c r="I48" s="29">
        <f t="shared" si="16"/>
        <v>83720</v>
      </c>
      <c r="J48" s="29">
        <f t="shared" si="16"/>
        <v>0</v>
      </c>
      <c r="K48" s="29">
        <f t="shared" si="16"/>
        <v>5000</v>
      </c>
      <c r="L48" s="29">
        <f t="shared" si="16"/>
        <v>0</v>
      </c>
      <c r="M48" s="29">
        <f t="shared" si="16"/>
        <v>0</v>
      </c>
      <c r="N48" s="29">
        <f t="shared" si="16"/>
        <v>0</v>
      </c>
      <c r="O48" s="29">
        <f t="shared" si="16"/>
        <v>0</v>
      </c>
    </row>
    <row r="49" spans="1:15" ht="12.75">
      <c r="A49" s="504"/>
      <c r="B49" s="505"/>
      <c r="C49" s="507">
        <v>3020</v>
      </c>
      <c r="D49" s="14" t="s">
        <v>401</v>
      </c>
      <c r="E49" s="21">
        <f t="shared" si="2"/>
        <v>5000</v>
      </c>
      <c r="F49" s="21">
        <f t="shared" si="3"/>
        <v>5000</v>
      </c>
      <c r="G49" s="21">
        <f t="shared" si="4"/>
        <v>0</v>
      </c>
      <c r="H49" s="263"/>
      <c r="I49" s="263"/>
      <c r="J49" s="263"/>
      <c r="K49" s="263">
        <v>5000</v>
      </c>
      <c r="L49" s="263"/>
      <c r="M49" s="263"/>
      <c r="N49" s="603"/>
      <c r="O49" s="603"/>
    </row>
    <row r="50" spans="1:15" ht="12.75">
      <c r="A50" s="504"/>
      <c r="B50" s="506"/>
      <c r="C50" s="507">
        <v>4010</v>
      </c>
      <c r="D50" s="14" t="s">
        <v>395</v>
      </c>
      <c r="E50" s="21">
        <f t="shared" si="2"/>
        <v>290000</v>
      </c>
      <c r="F50" s="21">
        <f t="shared" si="3"/>
        <v>290000</v>
      </c>
      <c r="G50" s="21">
        <f t="shared" si="4"/>
        <v>290000</v>
      </c>
      <c r="H50" s="263">
        <v>290000</v>
      </c>
      <c r="I50" s="263"/>
      <c r="J50" s="263"/>
      <c r="K50" s="263"/>
      <c r="L50" s="263"/>
      <c r="M50" s="263"/>
      <c r="N50" s="603"/>
      <c r="O50" s="603"/>
    </row>
    <row r="51" spans="1:15" ht="12.75">
      <c r="A51" s="504"/>
      <c r="B51" s="506"/>
      <c r="C51" s="507">
        <v>4040</v>
      </c>
      <c r="D51" s="14" t="s">
        <v>399</v>
      </c>
      <c r="E51" s="21">
        <f t="shared" si="2"/>
        <v>24305</v>
      </c>
      <c r="F51" s="21">
        <f t="shared" si="3"/>
        <v>24305</v>
      </c>
      <c r="G51" s="21">
        <f t="shared" si="4"/>
        <v>24305</v>
      </c>
      <c r="H51" s="263">
        <v>24305</v>
      </c>
      <c r="I51" s="263"/>
      <c r="J51" s="263"/>
      <c r="K51" s="263"/>
      <c r="L51" s="263"/>
      <c r="M51" s="263"/>
      <c r="N51" s="603"/>
      <c r="O51" s="603"/>
    </row>
    <row r="52" spans="1:15" ht="12.75">
      <c r="A52" s="504"/>
      <c r="B52" s="506"/>
      <c r="C52" s="507">
        <v>4110</v>
      </c>
      <c r="D52" s="14" t="s">
        <v>396</v>
      </c>
      <c r="E52" s="21">
        <f t="shared" si="2"/>
        <v>47750</v>
      </c>
      <c r="F52" s="21">
        <f t="shared" si="3"/>
        <v>47750</v>
      </c>
      <c r="G52" s="21">
        <f t="shared" si="4"/>
        <v>47750</v>
      </c>
      <c r="H52" s="263">
        <v>47750</v>
      </c>
      <c r="I52" s="263"/>
      <c r="J52" s="263"/>
      <c r="K52" s="263"/>
      <c r="L52" s="263"/>
      <c r="M52" s="263"/>
      <c r="N52" s="603"/>
      <c r="O52" s="603"/>
    </row>
    <row r="53" spans="1:15" ht="12.75">
      <c r="A53" s="504"/>
      <c r="B53" s="506"/>
      <c r="C53" s="507">
        <v>4120</v>
      </c>
      <c r="D53" s="14" t="s">
        <v>397</v>
      </c>
      <c r="E53" s="21">
        <f t="shared" si="2"/>
        <v>7700</v>
      </c>
      <c r="F53" s="21">
        <f t="shared" si="3"/>
        <v>7700</v>
      </c>
      <c r="G53" s="21">
        <f t="shared" si="4"/>
        <v>7700</v>
      </c>
      <c r="H53" s="263">
        <v>7700</v>
      </c>
      <c r="I53" s="263"/>
      <c r="J53" s="263"/>
      <c r="K53" s="263"/>
      <c r="L53" s="263"/>
      <c r="M53" s="263"/>
      <c r="N53" s="603"/>
      <c r="O53" s="603"/>
    </row>
    <row r="54" spans="1:15" ht="12.75">
      <c r="A54" s="504"/>
      <c r="B54" s="506"/>
      <c r="C54" s="507">
        <v>4210</v>
      </c>
      <c r="D54" s="14" t="s">
        <v>308</v>
      </c>
      <c r="E54" s="21">
        <f t="shared" si="2"/>
        <v>29000</v>
      </c>
      <c r="F54" s="21">
        <f t="shared" si="3"/>
        <v>29000</v>
      </c>
      <c r="G54" s="21">
        <f t="shared" si="4"/>
        <v>29000</v>
      </c>
      <c r="H54" s="263"/>
      <c r="I54" s="263">
        <f>44000-15000</f>
        <v>29000</v>
      </c>
      <c r="J54" s="263"/>
      <c r="K54" s="263"/>
      <c r="L54" s="263"/>
      <c r="M54" s="263"/>
      <c r="N54" s="603"/>
      <c r="O54" s="603"/>
    </row>
    <row r="55" spans="1:15" ht="12.75">
      <c r="A55" s="504"/>
      <c r="B55" s="506"/>
      <c r="C55" s="507">
        <v>4270</v>
      </c>
      <c r="D55" s="14" t="s">
        <v>299</v>
      </c>
      <c r="E55" s="21">
        <f t="shared" si="2"/>
        <v>5000</v>
      </c>
      <c r="F55" s="21">
        <f t="shared" si="3"/>
        <v>5000</v>
      </c>
      <c r="G55" s="21">
        <f t="shared" si="4"/>
        <v>5000</v>
      </c>
      <c r="H55" s="263"/>
      <c r="I55" s="263">
        <v>5000</v>
      </c>
      <c r="J55" s="263"/>
      <c r="K55" s="263"/>
      <c r="L55" s="263"/>
      <c r="M55" s="263"/>
      <c r="N55" s="603"/>
      <c r="O55" s="603"/>
    </row>
    <row r="56" spans="1:15" ht="12.75">
      <c r="A56" s="504"/>
      <c r="B56" s="506"/>
      <c r="C56" s="507">
        <v>4300</v>
      </c>
      <c r="D56" s="14" t="s">
        <v>318</v>
      </c>
      <c r="E56" s="21">
        <f t="shared" si="2"/>
        <v>30000</v>
      </c>
      <c r="F56" s="21">
        <f t="shared" si="3"/>
        <v>30000</v>
      </c>
      <c r="G56" s="21">
        <f t="shared" si="4"/>
        <v>30000</v>
      </c>
      <c r="H56" s="263"/>
      <c r="I56" s="263">
        <f>35000-5000</f>
        <v>30000</v>
      </c>
      <c r="J56" s="263"/>
      <c r="K56" s="263"/>
      <c r="L56" s="263"/>
      <c r="M56" s="263"/>
      <c r="N56" s="603"/>
      <c r="O56" s="603"/>
    </row>
    <row r="57" spans="1:15" ht="22.5">
      <c r="A57" s="504"/>
      <c r="B57" s="506"/>
      <c r="C57" s="507">
        <v>4370</v>
      </c>
      <c r="D57" s="14" t="s">
        <v>429</v>
      </c>
      <c r="E57" s="21">
        <f t="shared" si="2"/>
        <v>3000</v>
      </c>
      <c r="F57" s="21">
        <f t="shared" si="3"/>
        <v>3000</v>
      </c>
      <c r="G57" s="21">
        <f t="shared" si="4"/>
        <v>3000</v>
      </c>
      <c r="H57" s="263"/>
      <c r="I57" s="263">
        <v>3000</v>
      </c>
      <c r="J57" s="263"/>
      <c r="K57" s="263"/>
      <c r="L57" s="263"/>
      <c r="M57" s="263"/>
      <c r="N57" s="603"/>
      <c r="O57" s="603"/>
    </row>
    <row r="58" spans="1:15" ht="12.75">
      <c r="A58" s="504"/>
      <c r="B58" s="506"/>
      <c r="C58" s="507">
        <v>4410</v>
      </c>
      <c r="D58" s="14" t="s">
        <v>404</v>
      </c>
      <c r="E58" s="21">
        <f t="shared" si="2"/>
        <v>4000</v>
      </c>
      <c r="F58" s="21">
        <f t="shared" si="3"/>
        <v>4000</v>
      </c>
      <c r="G58" s="21">
        <f t="shared" si="4"/>
        <v>4000</v>
      </c>
      <c r="H58" s="263"/>
      <c r="I58" s="263">
        <v>4000</v>
      </c>
      <c r="J58" s="263"/>
      <c r="K58" s="263"/>
      <c r="L58" s="263"/>
      <c r="M58" s="263"/>
      <c r="N58" s="603"/>
      <c r="O58" s="603"/>
    </row>
    <row r="59" spans="1:15" ht="12.75">
      <c r="A59" s="504"/>
      <c r="B59" s="506"/>
      <c r="C59" s="507">
        <v>4440</v>
      </c>
      <c r="D59" s="14" t="s">
        <v>416</v>
      </c>
      <c r="E59" s="21">
        <f t="shared" si="2"/>
        <v>9720</v>
      </c>
      <c r="F59" s="21">
        <f t="shared" si="3"/>
        <v>9720</v>
      </c>
      <c r="G59" s="21">
        <f t="shared" si="4"/>
        <v>9720</v>
      </c>
      <c r="H59" s="263"/>
      <c r="I59" s="263">
        <v>9720</v>
      </c>
      <c r="J59" s="263"/>
      <c r="K59" s="263"/>
      <c r="L59" s="263"/>
      <c r="M59" s="263"/>
      <c r="N59" s="603"/>
      <c r="O59" s="603"/>
    </row>
    <row r="60" spans="1:15" ht="22.5">
      <c r="A60" s="504"/>
      <c r="B60" s="506"/>
      <c r="C60" s="507">
        <v>4700</v>
      </c>
      <c r="D60" s="14" t="s">
        <v>417</v>
      </c>
      <c r="E60" s="21">
        <f t="shared" si="2"/>
        <v>3000</v>
      </c>
      <c r="F60" s="21">
        <f t="shared" si="3"/>
        <v>3000</v>
      </c>
      <c r="G60" s="21">
        <f t="shared" si="4"/>
        <v>3000</v>
      </c>
      <c r="H60" s="263"/>
      <c r="I60" s="263">
        <v>3000</v>
      </c>
      <c r="J60" s="263"/>
      <c r="K60" s="263"/>
      <c r="L60" s="263"/>
      <c r="M60" s="263"/>
      <c r="N60" s="603"/>
      <c r="O60" s="603"/>
    </row>
    <row r="61" spans="1:15" ht="22.5">
      <c r="A61" s="504"/>
      <c r="B61" s="505">
        <v>75022</v>
      </c>
      <c r="C61" s="508"/>
      <c r="D61" s="387" t="s">
        <v>430</v>
      </c>
      <c r="E61" s="26">
        <f aca="true" t="shared" si="17" ref="E61:E108">SUM(F61+N61)</f>
        <v>393353</v>
      </c>
      <c r="F61" s="26">
        <f aca="true" t="shared" si="18" ref="F61:F108">SUM(J61:M61)+G61</f>
        <v>393353</v>
      </c>
      <c r="G61" s="26">
        <f aca="true" t="shared" si="19" ref="G61:G108">SUM(H61:I61)</f>
        <v>12500</v>
      </c>
      <c r="H61" s="29">
        <f aca="true" t="shared" si="20" ref="H61:O61">SUM(H62:H66)</f>
        <v>0</v>
      </c>
      <c r="I61" s="29">
        <f t="shared" si="20"/>
        <v>12500</v>
      </c>
      <c r="J61" s="29">
        <f t="shared" si="20"/>
        <v>0</v>
      </c>
      <c r="K61" s="29">
        <f t="shared" si="20"/>
        <v>380853</v>
      </c>
      <c r="L61" s="29">
        <f t="shared" si="20"/>
        <v>0</v>
      </c>
      <c r="M61" s="29">
        <f t="shared" si="20"/>
        <v>0</v>
      </c>
      <c r="N61" s="29">
        <f t="shared" si="20"/>
        <v>0</v>
      </c>
      <c r="O61" s="29">
        <f t="shared" si="20"/>
        <v>0</v>
      </c>
    </row>
    <row r="62" spans="1:15" ht="12.75">
      <c r="A62" s="504"/>
      <c r="B62" s="506"/>
      <c r="C62" s="507">
        <v>3030</v>
      </c>
      <c r="D62" s="14" t="s">
        <v>407</v>
      </c>
      <c r="E62" s="21">
        <f t="shared" si="17"/>
        <v>379853</v>
      </c>
      <c r="F62" s="21">
        <f t="shared" si="18"/>
        <v>379853</v>
      </c>
      <c r="G62" s="21">
        <f t="shared" si="19"/>
        <v>0</v>
      </c>
      <c r="H62" s="263"/>
      <c r="I62" s="263"/>
      <c r="J62" s="263"/>
      <c r="K62" s="263">
        <v>379853</v>
      </c>
      <c r="L62" s="263"/>
      <c r="M62" s="263"/>
      <c r="N62" s="603"/>
      <c r="O62" s="603"/>
    </row>
    <row r="63" spans="1:15" ht="22.5">
      <c r="A63" s="504"/>
      <c r="B63" s="506"/>
      <c r="C63" s="507">
        <v>3040</v>
      </c>
      <c r="D63" s="14" t="s">
        <v>317</v>
      </c>
      <c r="E63" s="21">
        <f t="shared" si="17"/>
        <v>1000</v>
      </c>
      <c r="F63" s="21">
        <f t="shared" si="18"/>
        <v>1000</v>
      </c>
      <c r="G63" s="21">
        <f t="shared" si="19"/>
        <v>0</v>
      </c>
      <c r="H63" s="28"/>
      <c r="I63" s="28"/>
      <c r="J63" s="28"/>
      <c r="K63" s="28">
        <v>1000</v>
      </c>
      <c r="L63" s="28"/>
      <c r="M63" s="28"/>
      <c r="N63" s="603"/>
      <c r="O63" s="603"/>
    </row>
    <row r="64" spans="1:15" ht="12.75">
      <c r="A64" s="504"/>
      <c r="B64" s="506"/>
      <c r="C64" s="507">
        <v>4210</v>
      </c>
      <c r="D64" s="14" t="s">
        <v>308</v>
      </c>
      <c r="E64" s="21">
        <f t="shared" si="17"/>
        <v>8000</v>
      </c>
      <c r="F64" s="21">
        <f t="shared" si="18"/>
        <v>8000</v>
      </c>
      <c r="G64" s="21">
        <f t="shared" si="19"/>
        <v>8000</v>
      </c>
      <c r="H64" s="263"/>
      <c r="I64" s="263">
        <f>12000-4000</f>
        <v>8000</v>
      </c>
      <c r="J64" s="263"/>
      <c r="K64" s="263"/>
      <c r="L64" s="263"/>
      <c r="M64" s="263"/>
      <c r="N64" s="603"/>
      <c r="O64" s="603"/>
    </row>
    <row r="65" spans="1:15" ht="12.75">
      <c r="A65" s="504"/>
      <c r="B65" s="506"/>
      <c r="C65" s="507">
        <v>4300</v>
      </c>
      <c r="D65" s="14" t="s">
        <v>318</v>
      </c>
      <c r="E65" s="21">
        <f t="shared" si="17"/>
        <v>3000</v>
      </c>
      <c r="F65" s="21">
        <f t="shared" si="18"/>
        <v>3000</v>
      </c>
      <c r="G65" s="21">
        <f t="shared" si="19"/>
        <v>3000</v>
      </c>
      <c r="H65" s="263"/>
      <c r="I65" s="263">
        <f>6000-3000</f>
        <v>3000</v>
      </c>
      <c r="J65" s="263"/>
      <c r="K65" s="263"/>
      <c r="L65" s="263"/>
      <c r="M65" s="263"/>
      <c r="N65" s="603"/>
      <c r="O65" s="603"/>
    </row>
    <row r="66" spans="1:15" ht="22.5">
      <c r="A66" s="504"/>
      <c r="B66" s="506"/>
      <c r="C66" s="507">
        <v>4360</v>
      </c>
      <c r="D66" s="14" t="s">
        <v>431</v>
      </c>
      <c r="E66" s="21">
        <f t="shared" si="17"/>
        <v>1500</v>
      </c>
      <c r="F66" s="21">
        <f t="shared" si="18"/>
        <v>1500</v>
      </c>
      <c r="G66" s="21">
        <f t="shared" si="19"/>
        <v>1500</v>
      </c>
      <c r="H66" s="263"/>
      <c r="I66" s="263">
        <v>1500</v>
      </c>
      <c r="J66" s="263"/>
      <c r="K66" s="263"/>
      <c r="L66" s="263"/>
      <c r="M66" s="263"/>
      <c r="N66" s="603"/>
      <c r="O66" s="603"/>
    </row>
    <row r="67" spans="1:15" ht="22.5">
      <c r="A67" s="504"/>
      <c r="B67" s="505">
        <v>75023</v>
      </c>
      <c r="C67" s="508"/>
      <c r="D67" s="387" t="s">
        <v>97</v>
      </c>
      <c r="E67" s="26">
        <f t="shared" si="17"/>
        <v>5763653</v>
      </c>
      <c r="F67" s="26">
        <f t="shared" si="18"/>
        <v>5758528</v>
      </c>
      <c r="G67" s="26">
        <f t="shared" si="19"/>
        <v>5735528</v>
      </c>
      <c r="H67" s="29">
        <f aca="true" t="shared" si="21" ref="H67:M67">SUM(H68:H88)</f>
        <v>4763028</v>
      </c>
      <c r="I67" s="29">
        <f t="shared" si="21"/>
        <v>972500</v>
      </c>
      <c r="J67" s="29">
        <f t="shared" si="21"/>
        <v>0</v>
      </c>
      <c r="K67" s="29">
        <f t="shared" si="21"/>
        <v>23000</v>
      </c>
      <c r="L67" s="29">
        <f t="shared" si="21"/>
        <v>0</v>
      </c>
      <c r="M67" s="29">
        <f t="shared" si="21"/>
        <v>0</v>
      </c>
      <c r="N67" s="29">
        <f>SUM(N68:N89)</f>
        <v>5125</v>
      </c>
      <c r="O67" s="29">
        <f>SUM(O68:O89)</f>
        <v>5125</v>
      </c>
    </row>
    <row r="68" spans="1:15" ht="12.75">
      <c r="A68" s="504"/>
      <c r="B68" s="506"/>
      <c r="C68" s="507">
        <v>3020</v>
      </c>
      <c r="D68" s="14" t="s">
        <v>401</v>
      </c>
      <c r="E68" s="21">
        <f t="shared" si="17"/>
        <v>23000</v>
      </c>
      <c r="F68" s="21">
        <f t="shared" si="18"/>
        <v>23000</v>
      </c>
      <c r="G68" s="21">
        <f t="shared" si="19"/>
        <v>0</v>
      </c>
      <c r="H68" s="263"/>
      <c r="I68" s="263"/>
      <c r="J68" s="263"/>
      <c r="K68" s="263">
        <v>23000</v>
      </c>
      <c r="L68" s="263"/>
      <c r="M68" s="263"/>
      <c r="N68" s="603"/>
      <c r="O68" s="603"/>
    </row>
    <row r="69" spans="1:15" ht="12.75">
      <c r="A69" s="504"/>
      <c r="B69" s="506"/>
      <c r="C69" s="507">
        <v>4010</v>
      </c>
      <c r="D69" s="14" t="s">
        <v>395</v>
      </c>
      <c r="E69" s="21">
        <f t="shared" si="17"/>
        <v>3720000</v>
      </c>
      <c r="F69" s="21">
        <f t="shared" si="18"/>
        <v>3720000</v>
      </c>
      <c r="G69" s="21">
        <f t="shared" si="19"/>
        <v>3720000</v>
      </c>
      <c r="H69" s="263">
        <v>3720000</v>
      </c>
      <c r="I69" s="263"/>
      <c r="J69" s="263"/>
      <c r="K69" s="263"/>
      <c r="L69" s="263"/>
      <c r="M69" s="263"/>
      <c r="N69" s="603"/>
      <c r="O69" s="603"/>
    </row>
    <row r="70" spans="1:15" ht="12.75">
      <c r="A70" s="504"/>
      <c r="B70" s="506"/>
      <c r="C70" s="507">
        <v>4040</v>
      </c>
      <c r="D70" s="14" t="s">
        <v>399</v>
      </c>
      <c r="E70" s="21">
        <f t="shared" si="17"/>
        <v>319888</v>
      </c>
      <c r="F70" s="21">
        <f t="shared" si="18"/>
        <v>319888</v>
      </c>
      <c r="G70" s="21">
        <f t="shared" si="19"/>
        <v>319888</v>
      </c>
      <c r="H70" s="263">
        <v>319888</v>
      </c>
      <c r="I70" s="263"/>
      <c r="J70" s="263"/>
      <c r="K70" s="263"/>
      <c r="L70" s="263"/>
      <c r="M70" s="263"/>
      <c r="N70" s="603"/>
      <c r="O70" s="603"/>
    </row>
    <row r="71" spans="1:15" ht="12.75">
      <c r="A71" s="504"/>
      <c r="B71" s="506"/>
      <c r="C71" s="507">
        <v>4110</v>
      </c>
      <c r="D71" s="14" t="s">
        <v>396</v>
      </c>
      <c r="E71" s="21">
        <f t="shared" si="17"/>
        <v>613660</v>
      </c>
      <c r="F71" s="21">
        <f t="shared" si="18"/>
        <v>613660</v>
      </c>
      <c r="G71" s="21">
        <f t="shared" si="19"/>
        <v>613660</v>
      </c>
      <c r="H71" s="263">
        <v>613660</v>
      </c>
      <c r="I71" s="263"/>
      <c r="J71" s="263"/>
      <c r="K71" s="263"/>
      <c r="L71" s="263"/>
      <c r="M71" s="263"/>
      <c r="N71" s="603"/>
      <c r="O71" s="603"/>
    </row>
    <row r="72" spans="1:15" ht="12.75">
      <c r="A72" s="504"/>
      <c r="B72" s="506"/>
      <c r="C72" s="507">
        <v>4120</v>
      </c>
      <c r="D72" s="14" t="s">
        <v>400</v>
      </c>
      <c r="E72" s="21">
        <f t="shared" si="17"/>
        <v>98980</v>
      </c>
      <c r="F72" s="21">
        <f t="shared" si="18"/>
        <v>98980</v>
      </c>
      <c r="G72" s="21">
        <f t="shared" si="19"/>
        <v>98980</v>
      </c>
      <c r="H72" s="263">
        <v>98980</v>
      </c>
      <c r="I72" s="263"/>
      <c r="J72" s="263"/>
      <c r="K72" s="263"/>
      <c r="L72" s="263"/>
      <c r="M72" s="263"/>
      <c r="N72" s="603"/>
      <c r="O72" s="603"/>
    </row>
    <row r="73" spans="1:15" ht="12.75">
      <c r="A73" s="504"/>
      <c r="B73" s="506"/>
      <c r="C73" s="507">
        <v>4140</v>
      </c>
      <c r="D73" s="14" t="s">
        <v>432</v>
      </c>
      <c r="E73" s="21">
        <f t="shared" si="17"/>
        <v>40000</v>
      </c>
      <c r="F73" s="21">
        <f t="shared" si="18"/>
        <v>40000</v>
      </c>
      <c r="G73" s="21">
        <f t="shared" si="19"/>
        <v>40000</v>
      </c>
      <c r="H73" s="263">
        <v>0</v>
      </c>
      <c r="I73" s="263">
        <v>40000</v>
      </c>
      <c r="J73" s="263"/>
      <c r="K73" s="263"/>
      <c r="L73" s="263"/>
      <c r="M73" s="263"/>
      <c r="N73" s="603"/>
      <c r="O73" s="603"/>
    </row>
    <row r="74" spans="1:15" ht="12.75">
      <c r="A74" s="504"/>
      <c r="B74" s="506"/>
      <c r="C74" s="507">
        <v>4170</v>
      </c>
      <c r="D74" s="14" t="s">
        <v>402</v>
      </c>
      <c r="E74" s="21">
        <f t="shared" si="17"/>
        <v>10500</v>
      </c>
      <c r="F74" s="21">
        <f t="shared" si="18"/>
        <v>10500</v>
      </c>
      <c r="G74" s="21">
        <f t="shared" si="19"/>
        <v>10500</v>
      </c>
      <c r="H74" s="263">
        <v>10500</v>
      </c>
      <c r="I74" s="263"/>
      <c r="J74" s="263"/>
      <c r="K74" s="263"/>
      <c r="L74" s="263"/>
      <c r="M74" s="263"/>
      <c r="N74" s="603"/>
      <c r="O74" s="603"/>
    </row>
    <row r="75" spans="1:15" ht="12.75">
      <c r="A75" s="504"/>
      <c r="B75" s="506"/>
      <c r="C75" s="507">
        <v>4210</v>
      </c>
      <c r="D75" s="14" t="s">
        <v>308</v>
      </c>
      <c r="E75" s="21">
        <f t="shared" si="17"/>
        <v>166000</v>
      </c>
      <c r="F75" s="21">
        <f t="shared" si="18"/>
        <v>166000</v>
      </c>
      <c r="G75" s="21">
        <f t="shared" si="19"/>
        <v>166000</v>
      </c>
      <c r="H75" s="263"/>
      <c r="I75" s="263">
        <f>466000-300000</f>
        <v>166000</v>
      </c>
      <c r="J75" s="263"/>
      <c r="K75" s="263"/>
      <c r="L75" s="263"/>
      <c r="M75" s="263"/>
      <c r="N75" s="603"/>
      <c r="O75" s="603"/>
    </row>
    <row r="76" spans="1:15" ht="12.75">
      <c r="A76" s="504"/>
      <c r="B76" s="506"/>
      <c r="C76" s="507">
        <v>4260</v>
      </c>
      <c r="D76" s="14" t="s">
        <v>408</v>
      </c>
      <c r="E76" s="21">
        <f t="shared" si="17"/>
        <v>68000</v>
      </c>
      <c r="F76" s="21">
        <f t="shared" si="18"/>
        <v>68000</v>
      </c>
      <c r="G76" s="21">
        <f t="shared" si="19"/>
        <v>68000</v>
      </c>
      <c r="H76" s="263"/>
      <c r="I76" s="263">
        <v>68000</v>
      </c>
      <c r="J76" s="263"/>
      <c r="K76" s="263"/>
      <c r="L76" s="263"/>
      <c r="M76" s="263"/>
      <c r="N76" s="603"/>
      <c r="O76" s="603"/>
    </row>
    <row r="77" spans="1:15" ht="12.75">
      <c r="A77" s="504"/>
      <c r="B77" s="506"/>
      <c r="C77" s="507">
        <v>4270</v>
      </c>
      <c r="D77" s="14" t="s">
        <v>299</v>
      </c>
      <c r="E77" s="21">
        <f t="shared" si="17"/>
        <v>59000</v>
      </c>
      <c r="F77" s="21">
        <f t="shared" si="18"/>
        <v>59000</v>
      </c>
      <c r="G77" s="21">
        <f t="shared" si="19"/>
        <v>59000</v>
      </c>
      <c r="H77" s="263"/>
      <c r="I77" s="263">
        <v>59000</v>
      </c>
      <c r="J77" s="263"/>
      <c r="K77" s="263"/>
      <c r="L77" s="263"/>
      <c r="M77" s="263"/>
      <c r="N77" s="603"/>
      <c r="O77" s="603"/>
    </row>
    <row r="78" spans="1:15" ht="12.75">
      <c r="A78" s="504"/>
      <c r="B78" s="506"/>
      <c r="C78" s="507">
        <v>4280</v>
      </c>
      <c r="D78" s="14" t="s">
        <v>414</v>
      </c>
      <c r="E78" s="21">
        <f t="shared" si="17"/>
        <v>5500</v>
      </c>
      <c r="F78" s="21">
        <f t="shared" si="18"/>
        <v>5500</v>
      </c>
      <c r="G78" s="21">
        <f t="shared" si="19"/>
        <v>5500</v>
      </c>
      <c r="H78" s="263"/>
      <c r="I78" s="263">
        <v>5500</v>
      </c>
      <c r="J78" s="263"/>
      <c r="K78" s="263"/>
      <c r="L78" s="263"/>
      <c r="M78" s="263"/>
      <c r="N78" s="603"/>
      <c r="O78" s="603"/>
    </row>
    <row r="79" spans="1:15" ht="12.75">
      <c r="A79" s="504"/>
      <c r="B79" s="506"/>
      <c r="C79" s="507">
        <v>4300</v>
      </c>
      <c r="D79" s="14" t="s">
        <v>318</v>
      </c>
      <c r="E79" s="21">
        <f t="shared" si="17"/>
        <v>157000</v>
      </c>
      <c r="F79" s="21">
        <f t="shared" si="18"/>
        <v>157000</v>
      </c>
      <c r="G79" s="21">
        <f t="shared" si="19"/>
        <v>157000</v>
      </c>
      <c r="H79" s="28"/>
      <c r="I79" s="28">
        <f>237000-80000</f>
        <v>157000</v>
      </c>
      <c r="J79" s="28"/>
      <c r="K79" s="28"/>
      <c r="L79" s="28"/>
      <c r="M79" s="28"/>
      <c r="N79" s="603"/>
      <c r="O79" s="603"/>
    </row>
    <row r="80" spans="1:15" ht="12.75">
      <c r="A80" s="504"/>
      <c r="B80" s="506"/>
      <c r="C80" s="507">
        <v>4350</v>
      </c>
      <c r="D80" s="13" t="s">
        <v>415</v>
      </c>
      <c r="E80" s="21">
        <f t="shared" si="17"/>
        <v>20000</v>
      </c>
      <c r="F80" s="21">
        <f t="shared" si="18"/>
        <v>20000</v>
      </c>
      <c r="G80" s="21">
        <f t="shared" si="19"/>
        <v>20000</v>
      </c>
      <c r="H80" s="28"/>
      <c r="I80" s="28">
        <v>20000</v>
      </c>
      <c r="J80" s="28"/>
      <c r="K80" s="28"/>
      <c r="L80" s="28"/>
      <c r="M80" s="28"/>
      <c r="N80" s="603"/>
      <c r="O80" s="603"/>
    </row>
    <row r="81" spans="1:15" ht="22.5">
      <c r="A81" s="504"/>
      <c r="B81" s="506"/>
      <c r="C81" s="507">
        <v>4360</v>
      </c>
      <c r="D81" s="14" t="s">
        <v>431</v>
      </c>
      <c r="E81" s="21">
        <f t="shared" si="17"/>
        <v>27000</v>
      </c>
      <c r="F81" s="21">
        <f t="shared" si="18"/>
        <v>27000</v>
      </c>
      <c r="G81" s="21">
        <f t="shared" si="19"/>
        <v>27000</v>
      </c>
      <c r="H81" s="28"/>
      <c r="I81" s="28">
        <v>27000</v>
      </c>
      <c r="J81" s="28"/>
      <c r="K81" s="28"/>
      <c r="L81" s="28"/>
      <c r="M81" s="28"/>
      <c r="N81" s="603"/>
      <c r="O81" s="603"/>
    </row>
    <row r="82" spans="1:15" ht="22.5">
      <c r="A82" s="504"/>
      <c r="B82" s="506"/>
      <c r="C82" s="507">
        <v>4370</v>
      </c>
      <c r="D82" s="14" t="s">
        <v>429</v>
      </c>
      <c r="E82" s="21">
        <f t="shared" si="17"/>
        <v>31000</v>
      </c>
      <c r="F82" s="21">
        <f t="shared" si="18"/>
        <v>31000</v>
      </c>
      <c r="G82" s="21">
        <f t="shared" si="19"/>
        <v>31000</v>
      </c>
      <c r="H82" s="28"/>
      <c r="I82" s="28">
        <v>31000</v>
      </c>
      <c r="J82" s="28"/>
      <c r="K82" s="28"/>
      <c r="L82" s="28"/>
      <c r="M82" s="28"/>
      <c r="N82" s="603"/>
      <c r="O82" s="603"/>
    </row>
    <row r="83" spans="1:15" ht="12.75">
      <c r="A83" s="504"/>
      <c r="B83" s="506"/>
      <c r="C83" s="507">
        <v>4410</v>
      </c>
      <c r="D83" s="14" t="s">
        <v>404</v>
      </c>
      <c r="E83" s="21">
        <f t="shared" si="17"/>
        <v>62000</v>
      </c>
      <c r="F83" s="21">
        <f t="shared" si="18"/>
        <v>62000</v>
      </c>
      <c r="G83" s="21">
        <f t="shared" si="19"/>
        <v>62000</v>
      </c>
      <c r="H83" s="28"/>
      <c r="I83" s="28">
        <v>62000</v>
      </c>
      <c r="J83" s="28"/>
      <c r="K83" s="28"/>
      <c r="L83" s="28"/>
      <c r="M83" s="28"/>
      <c r="N83" s="603"/>
      <c r="O83" s="603"/>
    </row>
    <row r="84" spans="1:15" ht="12.75">
      <c r="A84" s="504"/>
      <c r="B84" s="506"/>
      <c r="C84" s="507">
        <v>4430</v>
      </c>
      <c r="D84" s="14" t="s">
        <v>398</v>
      </c>
      <c r="E84" s="21">
        <f t="shared" si="17"/>
        <v>75000</v>
      </c>
      <c r="F84" s="21">
        <f t="shared" si="18"/>
        <v>75000</v>
      </c>
      <c r="G84" s="21">
        <f t="shared" si="19"/>
        <v>75000</v>
      </c>
      <c r="H84" s="263"/>
      <c r="I84" s="263">
        <v>75000</v>
      </c>
      <c r="J84" s="263"/>
      <c r="K84" s="263" t="s">
        <v>60</v>
      </c>
      <c r="L84" s="263"/>
      <c r="M84" s="263"/>
      <c r="N84" s="603"/>
      <c r="O84" s="603"/>
    </row>
    <row r="85" spans="1:15" ht="12.75">
      <c r="A85" s="504"/>
      <c r="B85" s="506"/>
      <c r="C85" s="507">
        <v>4440</v>
      </c>
      <c r="D85" s="14" t="s">
        <v>416</v>
      </c>
      <c r="E85" s="21">
        <f t="shared" si="17"/>
        <v>189000</v>
      </c>
      <c r="F85" s="21">
        <f t="shared" si="18"/>
        <v>189000</v>
      </c>
      <c r="G85" s="21">
        <f t="shared" si="19"/>
        <v>189000</v>
      </c>
      <c r="H85" s="263"/>
      <c r="I85" s="263">
        <v>189000</v>
      </c>
      <c r="J85" s="263"/>
      <c r="K85" s="263"/>
      <c r="L85" s="263" t="s">
        <v>60</v>
      </c>
      <c r="M85" s="263"/>
      <c r="N85" s="603"/>
      <c r="O85" s="603"/>
    </row>
    <row r="86" spans="1:15" ht="12.75">
      <c r="A86" s="504"/>
      <c r="B86" s="506"/>
      <c r="C86" s="507">
        <v>4530</v>
      </c>
      <c r="D86" s="14" t="s">
        <v>434</v>
      </c>
      <c r="E86" s="21">
        <f t="shared" si="17"/>
        <v>5000</v>
      </c>
      <c r="F86" s="21">
        <f t="shared" si="18"/>
        <v>5000</v>
      </c>
      <c r="G86" s="21">
        <f t="shared" si="19"/>
        <v>5000</v>
      </c>
      <c r="H86" s="263"/>
      <c r="I86" s="263">
        <v>5000</v>
      </c>
      <c r="J86" s="263"/>
      <c r="K86" s="263"/>
      <c r="L86" s="263"/>
      <c r="M86" s="263"/>
      <c r="N86" s="603"/>
      <c r="O86" s="603"/>
    </row>
    <row r="87" spans="1:15" ht="12.75">
      <c r="A87" s="504"/>
      <c r="B87" s="506"/>
      <c r="C87" s="507">
        <v>4610</v>
      </c>
      <c r="D87" s="14" t="s">
        <v>428</v>
      </c>
      <c r="E87" s="21">
        <f t="shared" si="17"/>
        <v>3000</v>
      </c>
      <c r="F87" s="21">
        <f t="shared" si="18"/>
        <v>3000</v>
      </c>
      <c r="G87" s="21">
        <f t="shared" si="19"/>
        <v>3000</v>
      </c>
      <c r="H87" s="263"/>
      <c r="I87" s="263">
        <v>3000</v>
      </c>
      <c r="J87" s="263"/>
      <c r="K87" s="263"/>
      <c r="L87" s="263"/>
      <c r="M87" s="263"/>
      <c r="N87" s="603"/>
      <c r="O87" s="603"/>
    </row>
    <row r="88" spans="1:15" ht="22.5">
      <c r="A88" s="504"/>
      <c r="B88" s="506"/>
      <c r="C88" s="507">
        <v>4700</v>
      </c>
      <c r="D88" s="14" t="s">
        <v>319</v>
      </c>
      <c r="E88" s="21">
        <f t="shared" si="17"/>
        <v>65000</v>
      </c>
      <c r="F88" s="21">
        <f t="shared" si="18"/>
        <v>65000</v>
      </c>
      <c r="G88" s="21">
        <f t="shared" si="19"/>
        <v>65000</v>
      </c>
      <c r="H88" s="263"/>
      <c r="I88" s="263">
        <f>75000-10000</f>
        <v>65000</v>
      </c>
      <c r="J88" s="263"/>
      <c r="K88" s="263"/>
      <c r="L88" s="263"/>
      <c r="M88" s="263"/>
      <c r="N88" s="603"/>
      <c r="O88" s="603"/>
    </row>
    <row r="89" spans="1:15" ht="12.75">
      <c r="A89" s="504"/>
      <c r="B89" s="506"/>
      <c r="C89" s="507">
        <v>6050</v>
      </c>
      <c r="D89" s="14" t="s">
        <v>309</v>
      </c>
      <c r="E89" s="21"/>
      <c r="F89" s="21"/>
      <c r="G89" s="21"/>
      <c r="H89" s="263"/>
      <c r="I89" s="263"/>
      <c r="J89" s="263"/>
      <c r="K89" s="263"/>
      <c r="L89" s="263"/>
      <c r="M89" s="263"/>
      <c r="N89" s="263">
        <v>5125</v>
      </c>
      <c r="O89" s="263">
        <v>5125</v>
      </c>
    </row>
    <row r="90" spans="1:15" ht="12.75">
      <c r="A90" s="504"/>
      <c r="B90" s="505">
        <v>75075</v>
      </c>
      <c r="C90" s="508"/>
      <c r="D90" s="513" t="s">
        <v>128</v>
      </c>
      <c r="E90" s="26">
        <f t="shared" si="17"/>
        <v>373700</v>
      </c>
      <c r="F90" s="26">
        <f t="shared" si="18"/>
        <v>373700</v>
      </c>
      <c r="G90" s="26">
        <f t="shared" si="19"/>
        <v>346200</v>
      </c>
      <c r="H90" s="25">
        <f aca="true" t="shared" si="22" ref="H90:O90">SUM(H92:H100)</f>
        <v>48700</v>
      </c>
      <c r="I90" s="25">
        <f t="shared" si="22"/>
        <v>297500</v>
      </c>
      <c r="J90" s="25">
        <f t="shared" si="22"/>
        <v>0</v>
      </c>
      <c r="K90" s="25">
        <f t="shared" si="22"/>
        <v>6500</v>
      </c>
      <c r="L90" s="25">
        <f>SUM(L91:L100)</f>
        <v>21000</v>
      </c>
      <c r="M90" s="25">
        <f t="shared" si="22"/>
        <v>0</v>
      </c>
      <c r="N90" s="25">
        <f t="shared" si="22"/>
        <v>0</v>
      </c>
      <c r="O90" s="25">
        <f t="shared" si="22"/>
        <v>0</v>
      </c>
    </row>
    <row r="91" spans="1:15" ht="33.75">
      <c r="A91" s="504"/>
      <c r="B91" s="505"/>
      <c r="C91" s="507">
        <v>2820</v>
      </c>
      <c r="D91" s="14" t="s">
        <v>2</v>
      </c>
      <c r="E91" s="21">
        <f>SUM(F91+N91)</f>
        <v>21000</v>
      </c>
      <c r="F91" s="21">
        <f>SUM(J91:M91)+G91</f>
        <v>21000</v>
      </c>
      <c r="G91" s="21">
        <f>SUM(H91:I91)</f>
        <v>0</v>
      </c>
      <c r="H91" s="28"/>
      <c r="I91" s="28"/>
      <c r="J91" s="28"/>
      <c r="K91" s="28"/>
      <c r="L91" s="28">
        <v>21000</v>
      </c>
      <c r="M91" s="28"/>
      <c r="N91" s="28"/>
      <c r="O91" s="25"/>
    </row>
    <row r="92" spans="1:15" ht="22.5">
      <c r="A92" s="504"/>
      <c r="B92" s="506"/>
      <c r="C92" s="507">
        <v>3040</v>
      </c>
      <c r="D92" s="14" t="s">
        <v>317</v>
      </c>
      <c r="E92" s="21">
        <f t="shared" si="17"/>
        <v>6500</v>
      </c>
      <c r="F92" s="21">
        <f t="shared" si="18"/>
        <v>6500</v>
      </c>
      <c r="G92" s="21">
        <f t="shared" si="19"/>
        <v>0</v>
      </c>
      <c r="H92" s="263"/>
      <c r="I92" s="263"/>
      <c r="J92" s="263"/>
      <c r="K92" s="263">
        <f>20000-10000-3500</f>
        <v>6500</v>
      </c>
      <c r="L92" s="263"/>
      <c r="M92" s="263"/>
      <c r="N92" s="263"/>
      <c r="O92" s="263"/>
    </row>
    <row r="93" spans="1:15" ht="12.75">
      <c r="A93" s="504"/>
      <c r="B93" s="506"/>
      <c r="C93" s="507">
        <v>4110</v>
      </c>
      <c r="D93" s="14" t="s">
        <v>396</v>
      </c>
      <c r="E93" s="21">
        <f t="shared" si="17"/>
        <v>3000</v>
      </c>
      <c r="F93" s="21">
        <f t="shared" si="18"/>
        <v>3000</v>
      </c>
      <c r="G93" s="21">
        <f t="shared" si="19"/>
        <v>3000</v>
      </c>
      <c r="H93" s="263">
        <v>3000</v>
      </c>
      <c r="I93" s="263"/>
      <c r="J93" s="263"/>
      <c r="K93" s="263"/>
      <c r="L93" s="263"/>
      <c r="M93" s="263"/>
      <c r="N93" s="263"/>
      <c r="O93" s="263"/>
    </row>
    <row r="94" spans="1:15" ht="12.75">
      <c r="A94" s="504"/>
      <c r="B94" s="506"/>
      <c r="C94" s="507">
        <v>4120</v>
      </c>
      <c r="D94" s="14" t="s">
        <v>400</v>
      </c>
      <c r="E94" s="21">
        <f t="shared" si="17"/>
        <v>700</v>
      </c>
      <c r="F94" s="21">
        <f t="shared" si="18"/>
        <v>700</v>
      </c>
      <c r="G94" s="21">
        <f t="shared" si="19"/>
        <v>700</v>
      </c>
      <c r="H94" s="263">
        <v>700</v>
      </c>
      <c r="I94" s="263"/>
      <c r="J94" s="263"/>
      <c r="K94" s="263"/>
      <c r="L94" s="263"/>
      <c r="M94" s="263"/>
      <c r="N94" s="263"/>
      <c r="O94" s="263"/>
    </row>
    <row r="95" spans="1:15" ht="12.75">
      <c r="A95" s="504"/>
      <c r="B95" s="506"/>
      <c r="C95" s="507">
        <v>4170</v>
      </c>
      <c r="D95" s="14" t="s">
        <v>402</v>
      </c>
      <c r="E95" s="21">
        <f t="shared" si="17"/>
        <v>45000</v>
      </c>
      <c r="F95" s="21">
        <f t="shared" si="18"/>
        <v>45000</v>
      </c>
      <c r="G95" s="21">
        <f t="shared" si="19"/>
        <v>45000</v>
      </c>
      <c r="H95" s="263">
        <f>60000-15000</f>
        <v>45000</v>
      </c>
      <c r="I95" s="263"/>
      <c r="J95" s="263"/>
      <c r="K95" s="263"/>
      <c r="L95" s="263"/>
      <c r="M95" s="263"/>
      <c r="N95" s="263"/>
      <c r="O95" s="263"/>
    </row>
    <row r="96" spans="1:15" ht="12.75">
      <c r="A96" s="504"/>
      <c r="B96" s="506"/>
      <c r="C96" s="507">
        <v>4210</v>
      </c>
      <c r="D96" s="13" t="s">
        <v>308</v>
      </c>
      <c r="E96" s="21">
        <f t="shared" si="17"/>
        <v>49300</v>
      </c>
      <c r="F96" s="21">
        <f t="shared" si="18"/>
        <v>49300</v>
      </c>
      <c r="G96" s="21">
        <f t="shared" si="19"/>
        <v>49300</v>
      </c>
      <c r="H96" s="263"/>
      <c r="I96" s="263">
        <f>75000-25000-700</f>
        <v>49300</v>
      </c>
      <c r="J96" s="263"/>
      <c r="K96" s="263"/>
      <c r="L96" s="263"/>
      <c r="M96" s="263"/>
      <c r="N96" s="263"/>
      <c r="O96" s="263"/>
    </row>
    <row r="97" spans="1:15" ht="12.75">
      <c r="A97" s="504"/>
      <c r="B97" s="506"/>
      <c r="C97" s="507">
        <v>4260</v>
      </c>
      <c r="D97" s="14" t="s">
        <v>408</v>
      </c>
      <c r="E97" s="21">
        <f t="shared" si="17"/>
        <v>2500</v>
      </c>
      <c r="F97" s="21">
        <f t="shared" si="18"/>
        <v>2500</v>
      </c>
      <c r="G97" s="21">
        <f t="shared" si="19"/>
        <v>2500</v>
      </c>
      <c r="H97" s="263"/>
      <c r="I97" s="263">
        <v>2500</v>
      </c>
      <c r="J97" s="263"/>
      <c r="K97" s="263"/>
      <c r="L97" s="263"/>
      <c r="M97" s="263"/>
      <c r="N97" s="263"/>
      <c r="O97" s="263"/>
    </row>
    <row r="98" spans="1:15" ht="12.75">
      <c r="A98" s="504"/>
      <c r="B98" s="506"/>
      <c r="C98" s="507">
        <v>4300</v>
      </c>
      <c r="D98" s="13" t="s">
        <v>318</v>
      </c>
      <c r="E98" s="21">
        <f t="shared" si="17"/>
        <v>243200</v>
      </c>
      <c r="F98" s="21">
        <f t="shared" si="18"/>
        <v>243200</v>
      </c>
      <c r="G98" s="21">
        <f t="shared" si="19"/>
        <v>243200</v>
      </c>
      <c r="H98" s="263"/>
      <c r="I98" s="263">
        <f>410000-150000-16800</f>
        <v>243200</v>
      </c>
      <c r="J98" s="263"/>
      <c r="K98" s="263"/>
      <c r="L98" s="263"/>
      <c r="M98" s="263"/>
      <c r="N98" s="263"/>
      <c r="O98" s="263"/>
    </row>
    <row r="99" spans="1:15" ht="12.75">
      <c r="A99" s="504"/>
      <c r="B99" s="506"/>
      <c r="C99" s="507">
        <v>4420</v>
      </c>
      <c r="D99" s="13" t="s">
        <v>433</v>
      </c>
      <c r="E99" s="21">
        <f t="shared" si="17"/>
        <v>1000</v>
      </c>
      <c r="F99" s="21">
        <f t="shared" si="18"/>
        <v>1000</v>
      </c>
      <c r="G99" s="21">
        <f t="shared" si="19"/>
        <v>1000</v>
      </c>
      <c r="H99" s="263"/>
      <c r="I99" s="263">
        <v>1000</v>
      </c>
      <c r="J99" s="263"/>
      <c r="K99" s="263"/>
      <c r="L99" s="263"/>
      <c r="M99" s="263"/>
      <c r="N99" s="263"/>
      <c r="O99" s="263"/>
    </row>
    <row r="100" spans="1:15" ht="12.75">
      <c r="A100" s="504"/>
      <c r="B100" s="506"/>
      <c r="C100" s="507">
        <v>4430</v>
      </c>
      <c r="D100" s="14" t="s">
        <v>398</v>
      </c>
      <c r="E100" s="21">
        <f t="shared" si="17"/>
        <v>1500</v>
      </c>
      <c r="F100" s="21">
        <f t="shared" si="18"/>
        <v>1500</v>
      </c>
      <c r="G100" s="21">
        <f t="shared" si="19"/>
        <v>1500</v>
      </c>
      <c r="H100" s="263"/>
      <c r="I100" s="263">
        <v>1500</v>
      </c>
      <c r="J100" s="263"/>
      <c r="K100" s="263"/>
      <c r="L100" s="263"/>
      <c r="M100" s="263"/>
      <c r="N100" s="263"/>
      <c r="O100" s="263"/>
    </row>
    <row r="101" spans="1:15" ht="12.75">
      <c r="A101" s="504"/>
      <c r="B101" s="505">
        <v>75095</v>
      </c>
      <c r="C101" s="320"/>
      <c r="D101" s="328" t="s">
        <v>90</v>
      </c>
      <c r="E101" s="26">
        <f>SUM(F101+N101)</f>
        <v>33048</v>
      </c>
      <c r="F101" s="26">
        <f>SUM(J101:M101)+G101</f>
        <v>0</v>
      </c>
      <c r="G101" s="26">
        <f>SUM(H101:I101)</f>
        <v>0</v>
      </c>
      <c r="H101" s="26"/>
      <c r="I101" s="26"/>
      <c r="J101" s="26"/>
      <c r="K101" s="26"/>
      <c r="L101" s="26"/>
      <c r="M101" s="26"/>
      <c r="N101" s="26">
        <f>SUM(N102)</f>
        <v>33048</v>
      </c>
      <c r="O101" s="26"/>
    </row>
    <row r="102" spans="1:15" ht="48" customHeight="1">
      <c r="A102" s="504"/>
      <c r="B102" s="751"/>
      <c r="C102" s="752">
        <v>6630</v>
      </c>
      <c r="D102" s="377" t="s">
        <v>0</v>
      </c>
      <c r="E102" s="21">
        <f>SUM(F102+N102)</f>
        <v>33048</v>
      </c>
      <c r="F102" s="21">
        <f>SUM(J102:M102)+G102</f>
        <v>0</v>
      </c>
      <c r="G102" s="21">
        <f>SUM(H102:I102)</f>
        <v>0</v>
      </c>
      <c r="H102" s="263"/>
      <c r="I102" s="263"/>
      <c r="J102" s="263"/>
      <c r="K102" s="263"/>
      <c r="L102" s="263"/>
      <c r="M102" s="263"/>
      <c r="N102" s="263">
        <v>33048</v>
      </c>
      <c r="O102" s="263"/>
    </row>
    <row r="103" spans="1:15" ht="33.75">
      <c r="A103" s="523">
        <v>751</v>
      </c>
      <c r="B103" s="524"/>
      <c r="C103" s="507"/>
      <c r="D103" s="387" t="s">
        <v>1</v>
      </c>
      <c r="E103" s="26">
        <f t="shared" si="17"/>
        <v>5940</v>
      </c>
      <c r="F103" s="26">
        <f t="shared" si="18"/>
        <v>5940</v>
      </c>
      <c r="G103" s="26">
        <f t="shared" si="19"/>
        <v>5940</v>
      </c>
      <c r="H103" s="29">
        <f aca="true" t="shared" si="23" ref="H103:N103">SUM(H104)</f>
        <v>5000</v>
      </c>
      <c r="I103" s="29">
        <f t="shared" si="23"/>
        <v>940</v>
      </c>
      <c r="J103" s="29">
        <f t="shared" si="23"/>
        <v>0</v>
      </c>
      <c r="K103" s="29">
        <f t="shared" si="23"/>
        <v>0</v>
      </c>
      <c r="L103" s="29">
        <f t="shared" si="23"/>
        <v>0</v>
      </c>
      <c r="M103" s="29">
        <f t="shared" si="23"/>
        <v>0</v>
      </c>
      <c r="N103" s="29">
        <f t="shared" si="23"/>
        <v>0</v>
      </c>
      <c r="O103" s="29">
        <f>SUM(O104)</f>
        <v>0</v>
      </c>
    </row>
    <row r="104" spans="1:15" ht="22.5">
      <c r="A104" s="504"/>
      <c r="B104" s="505">
        <v>75101</v>
      </c>
      <c r="C104" s="508"/>
      <c r="D104" s="525" t="s">
        <v>166</v>
      </c>
      <c r="E104" s="26">
        <f t="shared" si="17"/>
        <v>5940</v>
      </c>
      <c r="F104" s="26">
        <f t="shared" si="18"/>
        <v>5940</v>
      </c>
      <c r="G104" s="26">
        <f t="shared" si="19"/>
        <v>5940</v>
      </c>
      <c r="H104" s="29">
        <f aca="true" t="shared" si="24" ref="H104:O104">SUM(H105:H108)</f>
        <v>5000</v>
      </c>
      <c r="I104" s="29">
        <f t="shared" si="24"/>
        <v>940</v>
      </c>
      <c r="J104" s="29">
        <f t="shared" si="24"/>
        <v>0</v>
      </c>
      <c r="K104" s="526">
        <f t="shared" si="24"/>
        <v>0</v>
      </c>
      <c r="L104" s="526">
        <f t="shared" si="24"/>
        <v>0</v>
      </c>
      <c r="M104" s="526">
        <f t="shared" si="24"/>
        <v>0</v>
      </c>
      <c r="N104" s="526">
        <f t="shared" si="24"/>
        <v>0</v>
      </c>
      <c r="O104" s="526">
        <f t="shared" si="24"/>
        <v>0</v>
      </c>
    </row>
    <row r="105" spans="1:15" ht="12.75">
      <c r="A105" s="504"/>
      <c r="B105" s="505"/>
      <c r="C105" s="507">
        <v>4010</v>
      </c>
      <c r="D105" s="14" t="s">
        <v>395</v>
      </c>
      <c r="E105" s="21">
        <f t="shared" si="17"/>
        <v>4243</v>
      </c>
      <c r="F105" s="21">
        <f t="shared" si="18"/>
        <v>4243</v>
      </c>
      <c r="G105" s="21">
        <f t="shared" si="19"/>
        <v>4243</v>
      </c>
      <c r="H105" s="263">
        <v>4243</v>
      </c>
      <c r="I105" s="263"/>
      <c r="J105" s="10"/>
      <c r="K105" s="10"/>
      <c r="L105" s="10"/>
      <c r="M105" s="10"/>
      <c r="N105" s="10"/>
      <c r="O105" s="10"/>
    </row>
    <row r="106" spans="1:15" ht="12.75">
      <c r="A106" s="504"/>
      <c r="B106" s="505"/>
      <c r="C106" s="507">
        <v>4110</v>
      </c>
      <c r="D106" s="14" t="s">
        <v>396</v>
      </c>
      <c r="E106" s="21">
        <f t="shared" si="17"/>
        <v>653</v>
      </c>
      <c r="F106" s="21">
        <f t="shared" si="18"/>
        <v>653</v>
      </c>
      <c r="G106" s="21">
        <f t="shared" si="19"/>
        <v>653</v>
      </c>
      <c r="H106" s="263">
        <v>653</v>
      </c>
      <c r="I106" s="263"/>
      <c r="J106" s="10"/>
      <c r="K106" s="10"/>
      <c r="L106" s="10"/>
      <c r="M106" s="10"/>
      <c r="N106" s="10"/>
      <c r="O106" s="10"/>
    </row>
    <row r="107" spans="1:15" ht="12.75">
      <c r="A107" s="504"/>
      <c r="B107" s="505"/>
      <c r="C107" s="507">
        <v>4120</v>
      </c>
      <c r="D107" s="14" t="s">
        <v>400</v>
      </c>
      <c r="E107" s="21">
        <f t="shared" si="17"/>
        <v>104</v>
      </c>
      <c r="F107" s="21">
        <f t="shared" si="18"/>
        <v>104</v>
      </c>
      <c r="G107" s="21">
        <f t="shared" si="19"/>
        <v>104</v>
      </c>
      <c r="H107" s="263">
        <v>104</v>
      </c>
      <c r="I107" s="263"/>
      <c r="J107" s="10"/>
      <c r="K107" s="10"/>
      <c r="L107" s="10"/>
      <c r="M107" s="10"/>
      <c r="N107" s="10"/>
      <c r="O107" s="10"/>
    </row>
    <row r="108" spans="1:15" ht="12.75">
      <c r="A108" s="504"/>
      <c r="B108" s="506"/>
      <c r="C108" s="507">
        <v>4210</v>
      </c>
      <c r="D108" s="14" t="s">
        <v>308</v>
      </c>
      <c r="E108" s="21">
        <f t="shared" si="17"/>
        <v>940</v>
      </c>
      <c r="F108" s="21">
        <f t="shared" si="18"/>
        <v>940</v>
      </c>
      <c r="G108" s="21">
        <f t="shared" si="19"/>
        <v>940</v>
      </c>
      <c r="H108" s="263">
        <v>0</v>
      </c>
      <c r="I108" s="263">
        <v>940</v>
      </c>
      <c r="J108" s="10"/>
      <c r="K108" s="10"/>
      <c r="L108" s="10"/>
      <c r="M108" s="10"/>
      <c r="N108" s="10"/>
      <c r="O108" s="10"/>
    </row>
    <row r="109" spans="1:15" ht="22.5">
      <c r="A109" s="523">
        <v>754</v>
      </c>
      <c r="B109" s="524"/>
      <c r="C109" s="507"/>
      <c r="D109" s="387" t="s">
        <v>205</v>
      </c>
      <c r="E109" s="26">
        <f aca="true" t="shared" si="25" ref="E109:E145">SUM(F109+N109)</f>
        <v>1066131</v>
      </c>
      <c r="F109" s="26">
        <f aca="true" t="shared" si="26" ref="F109:F145">SUM(J109:M109)+G109</f>
        <v>1039489</v>
      </c>
      <c r="G109" s="26">
        <f aca="true" t="shared" si="27" ref="G109:G145">SUM(H109:I109)</f>
        <v>957989</v>
      </c>
      <c r="H109" s="29">
        <f aca="true" t="shared" si="28" ref="H109:N109">SUM(+H110+H125+H127+H141)</f>
        <v>533716</v>
      </c>
      <c r="I109" s="29">
        <f t="shared" si="28"/>
        <v>424273</v>
      </c>
      <c r="J109" s="29">
        <f t="shared" si="28"/>
        <v>0</v>
      </c>
      <c r="K109" s="29">
        <f t="shared" si="28"/>
        <v>51500</v>
      </c>
      <c r="L109" s="29">
        <f t="shared" si="28"/>
        <v>30000</v>
      </c>
      <c r="M109" s="29">
        <f t="shared" si="28"/>
        <v>0</v>
      </c>
      <c r="N109" s="29">
        <f t="shared" si="28"/>
        <v>26642</v>
      </c>
      <c r="O109" s="29">
        <f>SUM(+O110+O125+O127+O141)</f>
        <v>26642</v>
      </c>
    </row>
    <row r="110" spans="1:15" ht="12.75">
      <c r="A110" s="504"/>
      <c r="B110" s="505">
        <v>75412</v>
      </c>
      <c r="C110" s="508"/>
      <c r="D110" s="513" t="s">
        <v>167</v>
      </c>
      <c r="E110" s="26">
        <f t="shared" si="25"/>
        <v>315142</v>
      </c>
      <c r="F110" s="26">
        <f t="shared" si="26"/>
        <v>288500</v>
      </c>
      <c r="G110" s="26">
        <f t="shared" si="27"/>
        <v>207000</v>
      </c>
      <c r="H110" s="25">
        <f aca="true" t="shared" si="29" ref="H110:O110">SUM(H111:H124)</f>
        <v>47500</v>
      </c>
      <c r="I110" s="25">
        <f t="shared" si="29"/>
        <v>159500</v>
      </c>
      <c r="J110" s="25">
        <f t="shared" si="29"/>
        <v>0</v>
      </c>
      <c r="K110" s="25">
        <f t="shared" si="29"/>
        <v>51500</v>
      </c>
      <c r="L110" s="25">
        <f t="shared" si="29"/>
        <v>30000</v>
      </c>
      <c r="M110" s="25">
        <f t="shared" si="29"/>
        <v>0</v>
      </c>
      <c r="N110" s="25">
        <f t="shared" si="29"/>
        <v>26642</v>
      </c>
      <c r="O110" s="25">
        <f t="shared" si="29"/>
        <v>26642</v>
      </c>
    </row>
    <row r="111" spans="1:15" ht="33.75">
      <c r="A111" s="504"/>
      <c r="B111" s="505"/>
      <c r="C111" s="507">
        <v>2820</v>
      </c>
      <c r="D111" s="14" t="s">
        <v>2</v>
      </c>
      <c r="E111" s="21">
        <f t="shared" si="25"/>
        <v>30000</v>
      </c>
      <c r="F111" s="21">
        <f t="shared" si="26"/>
        <v>30000</v>
      </c>
      <c r="G111" s="21">
        <f t="shared" si="27"/>
        <v>0</v>
      </c>
      <c r="H111" s="263"/>
      <c r="I111" s="263">
        <v>0</v>
      </c>
      <c r="J111" s="263"/>
      <c r="K111" s="263"/>
      <c r="L111" s="263">
        <v>30000</v>
      </c>
      <c r="M111" s="263"/>
      <c r="N111" s="263"/>
      <c r="O111" s="263"/>
    </row>
    <row r="112" spans="1:15" ht="12.75">
      <c r="A112" s="504"/>
      <c r="B112" s="505"/>
      <c r="C112" s="507">
        <v>3030</v>
      </c>
      <c r="D112" s="13" t="s">
        <v>407</v>
      </c>
      <c r="E112" s="21">
        <f t="shared" si="25"/>
        <v>50000</v>
      </c>
      <c r="F112" s="21">
        <f t="shared" si="26"/>
        <v>50000</v>
      </c>
      <c r="G112" s="21">
        <f t="shared" si="27"/>
        <v>0</v>
      </c>
      <c r="H112" s="263"/>
      <c r="I112" s="263">
        <v>0</v>
      </c>
      <c r="J112" s="263"/>
      <c r="K112" s="263">
        <v>50000</v>
      </c>
      <c r="L112" s="263"/>
      <c r="M112" s="263"/>
      <c r="N112" s="263"/>
      <c r="O112" s="263"/>
    </row>
    <row r="113" spans="1:15" ht="22.5">
      <c r="A113" s="504"/>
      <c r="B113" s="506"/>
      <c r="C113" s="507">
        <v>3040</v>
      </c>
      <c r="D113" s="14" t="s">
        <v>317</v>
      </c>
      <c r="E113" s="21">
        <f t="shared" si="25"/>
        <v>1500</v>
      </c>
      <c r="F113" s="21">
        <f t="shared" si="26"/>
        <v>1500</v>
      </c>
      <c r="G113" s="21">
        <f t="shared" si="27"/>
        <v>0</v>
      </c>
      <c r="H113" s="263"/>
      <c r="I113" s="263">
        <v>0</v>
      </c>
      <c r="J113" s="263"/>
      <c r="K113" s="263">
        <v>1500</v>
      </c>
      <c r="L113" s="263"/>
      <c r="M113" s="263"/>
      <c r="N113" s="263"/>
      <c r="O113" s="263"/>
    </row>
    <row r="114" spans="1:15" ht="12.75">
      <c r="A114" s="504"/>
      <c r="B114" s="506"/>
      <c r="C114" s="507">
        <v>4110</v>
      </c>
      <c r="D114" s="13" t="s">
        <v>396</v>
      </c>
      <c r="E114" s="21">
        <f t="shared" si="25"/>
        <v>1000</v>
      </c>
      <c r="F114" s="21">
        <f t="shared" si="26"/>
        <v>1000</v>
      </c>
      <c r="G114" s="21">
        <f t="shared" si="27"/>
        <v>1000</v>
      </c>
      <c r="H114" s="263">
        <v>1000</v>
      </c>
      <c r="I114" s="263">
        <v>0</v>
      </c>
      <c r="J114" s="263"/>
      <c r="K114" s="263"/>
      <c r="L114" s="263"/>
      <c r="M114" s="263"/>
      <c r="N114" s="263"/>
      <c r="O114" s="263"/>
    </row>
    <row r="115" spans="1:15" ht="12.75">
      <c r="A115" s="504"/>
      <c r="B115" s="506"/>
      <c r="C115" s="507">
        <v>4120</v>
      </c>
      <c r="D115" s="13" t="s">
        <v>397</v>
      </c>
      <c r="E115" s="21">
        <f t="shared" si="25"/>
        <v>500</v>
      </c>
      <c r="F115" s="21">
        <f t="shared" si="26"/>
        <v>500</v>
      </c>
      <c r="G115" s="21">
        <f t="shared" si="27"/>
        <v>500</v>
      </c>
      <c r="H115" s="263">
        <v>500</v>
      </c>
      <c r="I115" s="263">
        <v>0</v>
      </c>
      <c r="J115" s="263"/>
      <c r="K115" s="263"/>
      <c r="L115" s="263"/>
      <c r="M115" s="263"/>
      <c r="N115" s="263"/>
      <c r="O115" s="263"/>
    </row>
    <row r="116" spans="1:15" ht="12.75">
      <c r="A116" s="504"/>
      <c r="B116" s="506"/>
      <c r="C116" s="507">
        <v>4170</v>
      </c>
      <c r="D116" s="13" t="s">
        <v>402</v>
      </c>
      <c r="E116" s="21">
        <f t="shared" si="25"/>
        <v>46000</v>
      </c>
      <c r="F116" s="21">
        <f t="shared" si="26"/>
        <v>46000</v>
      </c>
      <c r="G116" s="21">
        <f t="shared" si="27"/>
        <v>46000</v>
      </c>
      <c r="H116" s="263">
        <v>46000</v>
      </c>
      <c r="I116" s="263">
        <v>0</v>
      </c>
      <c r="J116" s="263"/>
      <c r="K116" s="263"/>
      <c r="L116" s="263"/>
      <c r="M116" s="263"/>
      <c r="N116" s="263"/>
      <c r="O116" s="263"/>
    </row>
    <row r="117" spans="1:15" ht="12.75">
      <c r="A117" s="504"/>
      <c r="B117" s="506"/>
      <c r="C117" s="507">
        <v>4210</v>
      </c>
      <c r="D117" s="13" t="s">
        <v>308</v>
      </c>
      <c r="E117" s="21">
        <f t="shared" si="25"/>
        <v>57000</v>
      </c>
      <c r="F117" s="21">
        <f t="shared" si="26"/>
        <v>57000</v>
      </c>
      <c r="G117" s="21">
        <f t="shared" si="27"/>
        <v>57000</v>
      </c>
      <c r="H117" s="263"/>
      <c r="I117" s="263">
        <v>57000</v>
      </c>
      <c r="J117" s="263"/>
      <c r="K117" s="263"/>
      <c r="L117" s="263"/>
      <c r="M117" s="263"/>
      <c r="N117" s="263"/>
      <c r="O117" s="263"/>
    </row>
    <row r="118" spans="1:15" ht="12.75">
      <c r="A118" s="504"/>
      <c r="B118" s="506"/>
      <c r="C118" s="507">
        <v>4260</v>
      </c>
      <c r="D118" s="13" t="s">
        <v>408</v>
      </c>
      <c r="E118" s="21">
        <f t="shared" si="25"/>
        <v>35000</v>
      </c>
      <c r="F118" s="21">
        <f t="shared" si="26"/>
        <v>35000</v>
      </c>
      <c r="G118" s="21">
        <f t="shared" si="27"/>
        <v>35000</v>
      </c>
      <c r="H118" s="263"/>
      <c r="I118" s="263">
        <v>35000</v>
      </c>
      <c r="J118" s="263"/>
      <c r="K118" s="263"/>
      <c r="L118" s="263"/>
      <c r="M118" s="263"/>
      <c r="N118" s="263"/>
      <c r="O118" s="263"/>
    </row>
    <row r="119" spans="1:15" ht="12.75">
      <c r="A119" s="504"/>
      <c r="B119" s="506"/>
      <c r="C119" s="507">
        <v>4270</v>
      </c>
      <c r="D119" s="13" t="s">
        <v>299</v>
      </c>
      <c r="E119" s="21">
        <f t="shared" si="25"/>
        <v>15000</v>
      </c>
      <c r="F119" s="21">
        <f t="shared" si="26"/>
        <v>15000</v>
      </c>
      <c r="G119" s="21">
        <f t="shared" si="27"/>
        <v>15000</v>
      </c>
      <c r="H119" s="263"/>
      <c r="I119" s="263">
        <v>15000</v>
      </c>
      <c r="J119" s="263"/>
      <c r="K119" s="263"/>
      <c r="L119" s="263"/>
      <c r="M119" s="263"/>
      <c r="N119" s="263"/>
      <c r="O119" s="263"/>
    </row>
    <row r="120" spans="1:15" ht="12.75">
      <c r="A120" s="504"/>
      <c r="B120" s="506"/>
      <c r="C120" s="507">
        <v>4300</v>
      </c>
      <c r="D120" s="13" t="s">
        <v>318</v>
      </c>
      <c r="E120" s="21">
        <f t="shared" si="25"/>
        <v>27500</v>
      </c>
      <c r="F120" s="21">
        <f t="shared" si="26"/>
        <v>27500</v>
      </c>
      <c r="G120" s="21">
        <f t="shared" si="27"/>
        <v>27500</v>
      </c>
      <c r="H120" s="263"/>
      <c r="I120" s="263">
        <v>27500</v>
      </c>
      <c r="J120" s="263"/>
      <c r="K120" s="263"/>
      <c r="L120" s="263"/>
      <c r="M120" s="263"/>
      <c r="N120" s="263"/>
      <c r="O120" s="263"/>
    </row>
    <row r="121" spans="1:15" ht="12.75">
      <c r="A121" s="504"/>
      <c r="B121" s="506"/>
      <c r="C121" s="507">
        <v>4350</v>
      </c>
      <c r="D121" s="13" t="s">
        <v>415</v>
      </c>
      <c r="E121" s="21">
        <f t="shared" si="25"/>
        <v>3800</v>
      </c>
      <c r="F121" s="21">
        <f t="shared" si="26"/>
        <v>3800</v>
      </c>
      <c r="G121" s="21">
        <f t="shared" si="27"/>
        <v>3800</v>
      </c>
      <c r="H121" s="263"/>
      <c r="I121" s="263">
        <v>3800</v>
      </c>
      <c r="J121" s="263"/>
      <c r="K121" s="263"/>
      <c r="L121" s="263"/>
      <c r="M121" s="263"/>
      <c r="N121" s="263"/>
      <c r="O121" s="263"/>
    </row>
    <row r="122" spans="1:15" ht="22.5">
      <c r="A122" s="504"/>
      <c r="B122" s="506"/>
      <c r="C122" s="507">
        <v>4360</v>
      </c>
      <c r="D122" s="14" t="s">
        <v>431</v>
      </c>
      <c r="E122" s="21">
        <f t="shared" si="25"/>
        <v>1200</v>
      </c>
      <c r="F122" s="21">
        <f t="shared" si="26"/>
        <v>1200</v>
      </c>
      <c r="G122" s="21">
        <f t="shared" si="27"/>
        <v>1200</v>
      </c>
      <c r="H122" s="263"/>
      <c r="I122" s="263">
        <v>1200</v>
      </c>
      <c r="J122" s="263"/>
      <c r="K122" s="263"/>
      <c r="L122" s="263"/>
      <c r="M122" s="263"/>
      <c r="N122" s="263"/>
      <c r="O122" s="263"/>
    </row>
    <row r="123" spans="1:15" ht="12.75">
      <c r="A123" s="504"/>
      <c r="B123" s="506"/>
      <c r="C123" s="507">
        <v>4430</v>
      </c>
      <c r="D123" s="13" t="s">
        <v>398</v>
      </c>
      <c r="E123" s="21">
        <f t="shared" si="25"/>
        <v>20000</v>
      </c>
      <c r="F123" s="21">
        <f t="shared" si="26"/>
        <v>20000</v>
      </c>
      <c r="G123" s="21">
        <f t="shared" si="27"/>
        <v>20000</v>
      </c>
      <c r="H123" s="263"/>
      <c r="I123" s="263">
        <v>20000</v>
      </c>
      <c r="J123" s="263"/>
      <c r="K123" s="263"/>
      <c r="L123" s="263"/>
      <c r="M123" s="263"/>
      <c r="N123" s="263"/>
      <c r="O123" s="263"/>
    </row>
    <row r="124" spans="1:15" ht="12.75">
      <c r="A124" s="504"/>
      <c r="B124" s="506"/>
      <c r="C124" s="507">
        <v>6050</v>
      </c>
      <c r="D124" s="14" t="s">
        <v>309</v>
      </c>
      <c r="E124" s="21">
        <f t="shared" si="25"/>
        <v>26642</v>
      </c>
      <c r="F124" s="21">
        <f t="shared" si="26"/>
        <v>0</v>
      </c>
      <c r="G124" s="21">
        <f t="shared" si="27"/>
        <v>0</v>
      </c>
      <c r="H124" s="263"/>
      <c r="I124" s="263"/>
      <c r="J124" s="263"/>
      <c r="K124" s="263"/>
      <c r="L124" s="263"/>
      <c r="M124" s="263"/>
      <c r="N124" s="263">
        <v>26642</v>
      </c>
      <c r="O124" s="263">
        <v>26642</v>
      </c>
    </row>
    <row r="125" spans="1:15" ht="12.75">
      <c r="A125" s="504"/>
      <c r="B125" s="505">
        <v>75414</v>
      </c>
      <c r="C125" s="508"/>
      <c r="D125" s="513" t="s">
        <v>168</v>
      </c>
      <c r="E125" s="26">
        <f>SUM(F125+N125)</f>
        <v>3100</v>
      </c>
      <c r="F125" s="26">
        <f t="shared" si="26"/>
        <v>3100</v>
      </c>
      <c r="G125" s="26">
        <f t="shared" si="27"/>
        <v>3100</v>
      </c>
      <c r="H125" s="25">
        <f aca="true" t="shared" si="30" ref="H125:O125">SUM(H126:H126)</f>
        <v>0</v>
      </c>
      <c r="I125" s="25">
        <f t="shared" si="30"/>
        <v>3100</v>
      </c>
      <c r="J125" s="25">
        <f t="shared" si="30"/>
        <v>0</v>
      </c>
      <c r="K125" s="25">
        <f t="shared" si="30"/>
        <v>0</v>
      </c>
      <c r="L125" s="25">
        <f t="shared" si="30"/>
        <v>0</v>
      </c>
      <c r="M125" s="25">
        <f t="shared" si="30"/>
        <v>0</v>
      </c>
      <c r="N125" s="25">
        <f t="shared" si="30"/>
        <v>0</v>
      </c>
      <c r="O125" s="25">
        <f t="shared" si="30"/>
        <v>0</v>
      </c>
    </row>
    <row r="126" spans="1:15" ht="12.75">
      <c r="A126" s="504"/>
      <c r="B126" s="505"/>
      <c r="C126" s="507">
        <v>4300</v>
      </c>
      <c r="D126" s="13" t="s">
        <v>318</v>
      </c>
      <c r="E126" s="21">
        <f t="shared" si="25"/>
        <v>3100</v>
      </c>
      <c r="F126" s="21">
        <f t="shared" si="26"/>
        <v>3100</v>
      </c>
      <c r="G126" s="21">
        <f t="shared" si="27"/>
        <v>3100</v>
      </c>
      <c r="H126" s="10"/>
      <c r="I126" s="263">
        <v>3100</v>
      </c>
      <c r="J126" s="10"/>
      <c r="K126" s="10"/>
      <c r="L126" s="10"/>
      <c r="M126" s="10"/>
      <c r="N126" s="10"/>
      <c r="O126" s="10"/>
    </row>
    <row r="127" spans="1:15" ht="12.75">
      <c r="A127" s="504"/>
      <c r="B127" s="505">
        <v>75416</v>
      </c>
      <c r="C127" s="508"/>
      <c r="D127" s="513" t="s">
        <v>542</v>
      </c>
      <c r="E127" s="26">
        <f t="shared" si="25"/>
        <v>560237</v>
      </c>
      <c r="F127" s="26">
        <f t="shared" si="26"/>
        <v>560237</v>
      </c>
      <c r="G127" s="26">
        <f t="shared" si="27"/>
        <v>560237</v>
      </c>
      <c r="H127" s="25">
        <f aca="true" t="shared" si="31" ref="H127:O127">SUM(H128:H140)</f>
        <v>486216</v>
      </c>
      <c r="I127" s="25">
        <f t="shared" si="31"/>
        <v>74021</v>
      </c>
      <c r="J127" s="25">
        <f t="shared" si="31"/>
        <v>0</v>
      </c>
      <c r="K127" s="25">
        <f t="shared" si="31"/>
        <v>0</v>
      </c>
      <c r="L127" s="25">
        <f t="shared" si="31"/>
        <v>0</v>
      </c>
      <c r="M127" s="25">
        <f t="shared" si="31"/>
        <v>0</v>
      </c>
      <c r="N127" s="25">
        <f t="shared" si="31"/>
        <v>0</v>
      </c>
      <c r="O127" s="25">
        <f t="shared" si="31"/>
        <v>0</v>
      </c>
    </row>
    <row r="128" spans="1:15" ht="12.75">
      <c r="A128" s="504"/>
      <c r="B128" s="506"/>
      <c r="C128" s="507">
        <v>4010</v>
      </c>
      <c r="D128" s="13" t="s">
        <v>395</v>
      </c>
      <c r="E128" s="21">
        <f t="shared" si="25"/>
        <v>387333</v>
      </c>
      <c r="F128" s="21">
        <f t="shared" si="26"/>
        <v>387333</v>
      </c>
      <c r="G128" s="21">
        <f t="shared" si="27"/>
        <v>387333</v>
      </c>
      <c r="H128" s="263">
        <v>387333</v>
      </c>
      <c r="I128" s="263"/>
      <c r="J128" s="263"/>
      <c r="K128" s="263"/>
      <c r="L128" s="263"/>
      <c r="M128" s="263"/>
      <c r="N128" s="263"/>
      <c r="O128" s="263"/>
    </row>
    <row r="129" spans="1:15" ht="12.75">
      <c r="A129" s="504"/>
      <c r="B129" s="506"/>
      <c r="C129" s="507">
        <v>4040</v>
      </c>
      <c r="D129" s="13" t="s">
        <v>399</v>
      </c>
      <c r="E129" s="21">
        <f t="shared" si="25"/>
        <v>30410</v>
      </c>
      <c r="F129" s="21">
        <f t="shared" si="26"/>
        <v>30410</v>
      </c>
      <c r="G129" s="21">
        <f t="shared" si="27"/>
        <v>30410</v>
      </c>
      <c r="H129" s="263">
        <v>30410</v>
      </c>
      <c r="I129" s="263"/>
      <c r="J129" s="263"/>
      <c r="K129" s="263" t="s">
        <v>60</v>
      </c>
      <c r="L129" s="263"/>
      <c r="M129" s="263"/>
      <c r="N129" s="263"/>
      <c r="O129" s="263"/>
    </row>
    <row r="130" spans="1:15" ht="12.75">
      <c r="A130" s="504"/>
      <c r="B130" s="506"/>
      <c r="C130" s="507">
        <v>4110</v>
      </c>
      <c r="D130" s="13" t="s">
        <v>396</v>
      </c>
      <c r="E130" s="21">
        <f t="shared" si="25"/>
        <v>58963</v>
      </c>
      <c r="F130" s="21">
        <f t="shared" si="26"/>
        <v>58963</v>
      </c>
      <c r="G130" s="21">
        <f t="shared" si="27"/>
        <v>58963</v>
      </c>
      <c r="H130" s="263">
        <v>58963</v>
      </c>
      <c r="I130" s="263"/>
      <c r="J130" s="263"/>
      <c r="K130" s="263"/>
      <c r="L130" s="263"/>
      <c r="M130" s="263"/>
      <c r="N130" s="263"/>
      <c r="O130" s="263"/>
    </row>
    <row r="131" spans="1:15" ht="12.75">
      <c r="A131" s="504"/>
      <c r="B131" s="506"/>
      <c r="C131" s="507">
        <v>4120</v>
      </c>
      <c r="D131" s="13" t="s">
        <v>397</v>
      </c>
      <c r="E131" s="21">
        <f t="shared" si="25"/>
        <v>9510</v>
      </c>
      <c r="F131" s="21">
        <f t="shared" si="26"/>
        <v>9510</v>
      </c>
      <c r="G131" s="21">
        <f t="shared" si="27"/>
        <v>9510</v>
      </c>
      <c r="H131" s="263">
        <v>9510</v>
      </c>
      <c r="I131" s="263"/>
      <c r="J131" s="263"/>
      <c r="K131" s="263"/>
      <c r="L131" s="263"/>
      <c r="M131" s="263"/>
      <c r="N131" s="263"/>
      <c r="O131" s="263"/>
    </row>
    <row r="132" spans="1:15" ht="12.75">
      <c r="A132" s="504" t="s">
        <v>60</v>
      </c>
      <c r="B132" s="506"/>
      <c r="C132" s="507">
        <v>4210</v>
      </c>
      <c r="D132" s="13" t="s">
        <v>308</v>
      </c>
      <c r="E132" s="21">
        <f t="shared" si="25"/>
        <v>30000</v>
      </c>
      <c r="F132" s="21">
        <f t="shared" si="26"/>
        <v>30000</v>
      </c>
      <c r="G132" s="21">
        <f t="shared" si="27"/>
        <v>30000</v>
      </c>
      <c r="H132" s="263"/>
      <c r="I132" s="263">
        <v>30000</v>
      </c>
      <c r="J132" s="263"/>
      <c r="K132" s="263"/>
      <c r="L132" s="263"/>
      <c r="M132" s="263"/>
      <c r="N132" s="263"/>
      <c r="O132" s="263"/>
    </row>
    <row r="133" spans="1:15" ht="12.75">
      <c r="A133" s="504"/>
      <c r="B133" s="506"/>
      <c r="C133" s="507">
        <v>4270</v>
      </c>
      <c r="D133" s="13" t="s">
        <v>299</v>
      </c>
      <c r="E133" s="21">
        <f t="shared" si="25"/>
        <v>5000</v>
      </c>
      <c r="F133" s="21">
        <f t="shared" si="26"/>
        <v>5000</v>
      </c>
      <c r="G133" s="21">
        <f t="shared" si="27"/>
        <v>5000</v>
      </c>
      <c r="H133" s="263"/>
      <c r="I133" s="263">
        <v>5000</v>
      </c>
      <c r="J133" s="263"/>
      <c r="K133" s="263"/>
      <c r="L133" s="263"/>
      <c r="M133" s="263"/>
      <c r="N133" s="263"/>
      <c r="O133" s="263"/>
    </row>
    <row r="134" spans="1:15" ht="12.75">
      <c r="A134" s="504"/>
      <c r="B134" s="506"/>
      <c r="C134" s="507">
        <v>4300</v>
      </c>
      <c r="D134" s="13" t="s">
        <v>318</v>
      </c>
      <c r="E134" s="21">
        <f t="shared" si="25"/>
        <v>10000</v>
      </c>
      <c r="F134" s="21">
        <f t="shared" si="26"/>
        <v>10000</v>
      </c>
      <c r="G134" s="21">
        <f t="shared" si="27"/>
        <v>10000</v>
      </c>
      <c r="H134" s="263"/>
      <c r="I134" s="263">
        <v>10000</v>
      </c>
      <c r="J134" s="263"/>
      <c r="K134" s="263"/>
      <c r="L134" s="263"/>
      <c r="M134" s="263"/>
      <c r="N134" s="263"/>
      <c r="O134" s="263"/>
    </row>
    <row r="135" spans="1:15" ht="12.75">
      <c r="A135" s="504"/>
      <c r="B135" s="506"/>
      <c r="C135" s="507">
        <v>4280</v>
      </c>
      <c r="D135" s="14" t="s">
        <v>414</v>
      </c>
      <c r="E135" s="21">
        <f t="shared" si="25"/>
        <v>3000</v>
      </c>
      <c r="F135" s="21">
        <f t="shared" si="26"/>
        <v>3000</v>
      </c>
      <c r="G135" s="21">
        <f t="shared" si="27"/>
        <v>3000</v>
      </c>
      <c r="H135" s="263"/>
      <c r="I135" s="263">
        <v>3000</v>
      </c>
      <c r="J135" s="263"/>
      <c r="K135" s="263"/>
      <c r="L135" s="263"/>
      <c r="M135" s="263"/>
      <c r="N135" s="263"/>
      <c r="O135" s="263"/>
    </row>
    <row r="136" spans="1:15" ht="22.5">
      <c r="A136" s="504"/>
      <c r="B136" s="506"/>
      <c r="C136" s="507">
        <v>4360</v>
      </c>
      <c r="D136" s="14" t="s">
        <v>431</v>
      </c>
      <c r="E136" s="21">
        <f t="shared" si="25"/>
        <v>2000</v>
      </c>
      <c r="F136" s="21">
        <f t="shared" si="26"/>
        <v>2000</v>
      </c>
      <c r="G136" s="21">
        <f t="shared" si="27"/>
        <v>2000</v>
      </c>
      <c r="H136" s="263"/>
      <c r="I136" s="263">
        <v>2000</v>
      </c>
      <c r="J136" s="263"/>
      <c r="K136" s="263"/>
      <c r="L136" s="263"/>
      <c r="M136" s="263"/>
      <c r="N136" s="263"/>
      <c r="O136" s="263"/>
    </row>
    <row r="137" spans="1:15" ht="12.75">
      <c r="A137" s="504"/>
      <c r="B137" s="506"/>
      <c r="C137" s="507">
        <v>4410</v>
      </c>
      <c r="D137" s="13" t="s">
        <v>404</v>
      </c>
      <c r="E137" s="21">
        <f t="shared" si="25"/>
        <v>3000</v>
      </c>
      <c r="F137" s="21">
        <f t="shared" si="26"/>
        <v>3000</v>
      </c>
      <c r="G137" s="21">
        <f t="shared" si="27"/>
        <v>3000</v>
      </c>
      <c r="H137" s="263"/>
      <c r="I137" s="263">
        <v>3000</v>
      </c>
      <c r="J137" s="263"/>
      <c r="K137" s="263"/>
      <c r="L137" s="263"/>
      <c r="M137" s="263"/>
      <c r="N137" s="263"/>
      <c r="O137" s="263"/>
    </row>
    <row r="138" spans="1:15" ht="12.75">
      <c r="A138" s="504"/>
      <c r="B138" s="506"/>
      <c r="C138" s="507">
        <v>4430</v>
      </c>
      <c r="D138" s="13" t="s">
        <v>398</v>
      </c>
      <c r="E138" s="21">
        <f t="shared" si="25"/>
        <v>1500</v>
      </c>
      <c r="F138" s="21">
        <f t="shared" si="26"/>
        <v>1500</v>
      </c>
      <c r="G138" s="21">
        <f t="shared" si="27"/>
        <v>1500</v>
      </c>
      <c r="H138" s="263"/>
      <c r="I138" s="263">
        <v>1500</v>
      </c>
      <c r="J138" s="263"/>
      <c r="K138" s="263"/>
      <c r="L138" s="263"/>
      <c r="M138" s="263"/>
      <c r="N138" s="263"/>
      <c r="O138" s="263"/>
    </row>
    <row r="139" spans="1:15" ht="12.75">
      <c r="A139" s="504"/>
      <c r="B139" s="506"/>
      <c r="C139" s="507">
        <v>4440</v>
      </c>
      <c r="D139" s="13" t="s">
        <v>416</v>
      </c>
      <c r="E139" s="21">
        <f t="shared" si="25"/>
        <v>15521</v>
      </c>
      <c r="F139" s="21">
        <f t="shared" si="26"/>
        <v>15521</v>
      </c>
      <c r="G139" s="21">
        <f t="shared" si="27"/>
        <v>15521</v>
      </c>
      <c r="H139" s="263"/>
      <c r="I139" s="263">
        <v>15521</v>
      </c>
      <c r="J139" s="263"/>
      <c r="K139" s="263"/>
      <c r="L139" s="263"/>
      <c r="M139" s="263"/>
      <c r="N139" s="263"/>
      <c r="O139" s="263"/>
    </row>
    <row r="140" spans="1:15" ht="22.5">
      <c r="A140" s="504"/>
      <c r="B140" s="506"/>
      <c r="C140" s="507">
        <v>4700</v>
      </c>
      <c r="D140" s="14" t="s">
        <v>319</v>
      </c>
      <c r="E140" s="21">
        <f t="shared" si="25"/>
        <v>4000</v>
      </c>
      <c r="F140" s="21">
        <f t="shared" si="26"/>
        <v>4000</v>
      </c>
      <c r="G140" s="21">
        <f t="shared" si="27"/>
        <v>4000</v>
      </c>
      <c r="H140" s="263"/>
      <c r="I140" s="263">
        <v>4000</v>
      </c>
      <c r="J140" s="263"/>
      <c r="K140" s="263"/>
      <c r="L140" s="263"/>
      <c r="M140" s="263"/>
      <c r="N140" s="263"/>
      <c r="O140" s="263"/>
    </row>
    <row r="141" spans="1:15" ht="12.75">
      <c r="A141" s="504"/>
      <c r="B141" s="505">
        <v>75421</v>
      </c>
      <c r="C141" s="508"/>
      <c r="D141" s="387" t="s">
        <v>170</v>
      </c>
      <c r="E141" s="26">
        <f t="shared" si="25"/>
        <v>187652</v>
      </c>
      <c r="F141" s="26">
        <f t="shared" si="26"/>
        <v>187652</v>
      </c>
      <c r="G141" s="26">
        <f t="shared" si="27"/>
        <v>187652</v>
      </c>
      <c r="H141" s="29">
        <f aca="true" t="shared" si="32" ref="H141:O141">SUM(H142:H142)</f>
        <v>0</v>
      </c>
      <c r="I141" s="29">
        <f t="shared" si="32"/>
        <v>187652</v>
      </c>
      <c r="J141" s="29">
        <f t="shared" si="32"/>
        <v>0</v>
      </c>
      <c r="K141" s="29">
        <f t="shared" si="32"/>
        <v>0</v>
      </c>
      <c r="L141" s="29">
        <f t="shared" si="32"/>
        <v>0</v>
      </c>
      <c r="M141" s="29">
        <f t="shared" si="32"/>
        <v>0</v>
      </c>
      <c r="N141" s="29">
        <f t="shared" si="32"/>
        <v>0</v>
      </c>
      <c r="O141" s="29">
        <f t="shared" si="32"/>
        <v>0</v>
      </c>
    </row>
    <row r="142" spans="1:15" ht="12.75">
      <c r="A142" s="504"/>
      <c r="B142" s="506"/>
      <c r="C142" s="507">
        <v>4810</v>
      </c>
      <c r="D142" s="13" t="s">
        <v>3</v>
      </c>
      <c r="E142" s="21">
        <f t="shared" si="25"/>
        <v>187652</v>
      </c>
      <c r="F142" s="21">
        <f t="shared" si="26"/>
        <v>187652</v>
      </c>
      <c r="G142" s="21">
        <f t="shared" si="27"/>
        <v>187652</v>
      </c>
      <c r="H142" s="263"/>
      <c r="I142" s="263">
        <f>185150+2502</f>
        <v>187652</v>
      </c>
      <c r="J142" s="263"/>
      <c r="K142" s="263"/>
      <c r="L142" s="263"/>
      <c r="M142" s="263"/>
      <c r="N142" s="263"/>
      <c r="O142" s="263"/>
    </row>
    <row r="143" spans="1:15" ht="45">
      <c r="A143" s="523">
        <v>756</v>
      </c>
      <c r="B143" s="527"/>
      <c r="C143" s="507"/>
      <c r="D143" s="387" t="s">
        <v>4</v>
      </c>
      <c r="E143" s="26">
        <f t="shared" si="25"/>
        <v>120000</v>
      </c>
      <c r="F143" s="26">
        <f t="shared" si="26"/>
        <v>120000</v>
      </c>
      <c r="G143" s="26">
        <f t="shared" si="27"/>
        <v>120000</v>
      </c>
      <c r="H143" s="29">
        <f aca="true" t="shared" si="33" ref="H143:O143">SUM(H144)</f>
        <v>100000</v>
      </c>
      <c r="I143" s="29">
        <f t="shared" si="33"/>
        <v>20000</v>
      </c>
      <c r="J143" s="29">
        <f t="shared" si="33"/>
        <v>0</v>
      </c>
      <c r="K143" s="29">
        <f t="shared" si="33"/>
        <v>0</v>
      </c>
      <c r="L143" s="29">
        <f t="shared" si="33"/>
        <v>0</v>
      </c>
      <c r="M143" s="29">
        <f t="shared" si="33"/>
        <v>0</v>
      </c>
      <c r="N143" s="29">
        <f t="shared" si="33"/>
        <v>0</v>
      </c>
      <c r="O143" s="29">
        <f t="shared" si="33"/>
        <v>0</v>
      </c>
    </row>
    <row r="144" spans="1:15" ht="22.5">
      <c r="A144" s="504"/>
      <c r="B144" s="505">
        <v>75647</v>
      </c>
      <c r="C144" s="508"/>
      <c r="D144" s="387" t="s">
        <v>5</v>
      </c>
      <c r="E144" s="26">
        <f t="shared" si="25"/>
        <v>120000</v>
      </c>
      <c r="F144" s="26">
        <f t="shared" si="26"/>
        <v>120000</v>
      </c>
      <c r="G144" s="26">
        <f t="shared" si="27"/>
        <v>120000</v>
      </c>
      <c r="H144" s="29">
        <f aca="true" t="shared" si="34" ref="H144:O144">SUM(H145:H150)</f>
        <v>100000</v>
      </c>
      <c r="I144" s="29">
        <f t="shared" si="34"/>
        <v>20000</v>
      </c>
      <c r="J144" s="29">
        <f t="shared" si="34"/>
        <v>0</v>
      </c>
      <c r="K144" s="29">
        <f t="shared" si="34"/>
        <v>0</v>
      </c>
      <c r="L144" s="29">
        <f t="shared" si="34"/>
        <v>0</v>
      </c>
      <c r="M144" s="29">
        <f t="shared" si="34"/>
        <v>0</v>
      </c>
      <c r="N144" s="29">
        <f t="shared" si="34"/>
        <v>0</v>
      </c>
      <c r="O144" s="29">
        <f t="shared" si="34"/>
        <v>0</v>
      </c>
    </row>
    <row r="145" spans="1:15" ht="12.75">
      <c r="A145" s="504"/>
      <c r="B145" s="505"/>
      <c r="C145" s="507">
        <v>4010</v>
      </c>
      <c r="D145" s="14" t="s">
        <v>395</v>
      </c>
      <c r="E145" s="21">
        <f t="shared" si="25"/>
        <v>21720</v>
      </c>
      <c r="F145" s="21">
        <f t="shared" si="26"/>
        <v>21720</v>
      </c>
      <c r="G145" s="21">
        <f t="shared" si="27"/>
        <v>21720</v>
      </c>
      <c r="H145" s="263">
        <v>21720</v>
      </c>
      <c r="I145" s="263"/>
      <c r="J145" s="263"/>
      <c r="K145" s="263"/>
      <c r="L145" s="263"/>
      <c r="M145" s="263"/>
      <c r="N145" s="263"/>
      <c r="O145" s="263"/>
    </row>
    <row r="146" spans="1:15" ht="12.75">
      <c r="A146" s="504"/>
      <c r="B146" s="505"/>
      <c r="C146" s="507">
        <v>4100</v>
      </c>
      <c r="D146" s="14" t="s">
        <v>6</v>
      </c>
      <c r="E146" s="21">
        <f aca="true" t="shared" si="35" ref="E146:E196">SUM(F146+N146)</f>
        <v>74447</v>
      </c>
      <c r="F146" s="21">
        <f aca="true" t="shared" si="36" ref="F146:F196">SUM(J146:M146)+G146</f>
        <v>74447</v>
      </c>
      <c r="G146" s="21">
        <f aca="true" t="shared" si="37" ref="G146:G196">SUM(H146:I146)</f>
        <v>74447</v>
      </c>
      <c r="H146" s="263">
        <v>74447</v>
      </c>
      <c r="I146" s="263"/>
      <c r="J146" s="263"/>
      <c r="K146" s="263"/>
      <c r="L146" s="263"/>
      <c r="M146" s="263"/>
      <c r="N146" s="263"/>
      <c r="O146" s="263"/>
    </row>
    <row r="147" spans="1:15" ht="12.75">
      <c r="A147" s="504"/>
      <c r="B147" s="505"/>
      <c r="C147" s="507">
        <v>4110</v>
      </c>
      <c r="D147" s="13" t="s">
        <v>396</v>
      </c>
      <c r="E147" s="21">
        <f t="shared" si="35"/>
        <v>3300</v>
      </c>
      <c r="F147" s="21">
        <f t="shared" si="36"/>
        <v>3300</v>
      </c>
      <c r="G147" s="21">
        <f t="shared" si="37"/>
        <v>3300</v>
      </c>
      <c r="H147" s="263">
        <v>3300</v>
      </c>
      <c r="I147" s="263"/>
      <c r="J147" s="263"/>
      <c r="K147" s="263"/>
      <c r="L147" s="263"/>
      <c r="M147" s="263"/>
      <c r="N147" s="263"/>
      <c r="O147" s="263"/>
    </row>
    <row r="148" spans="1:15" ht="12.75">
      <c r="A148" s="504"/>
      <c r="B148" s="505"/>
      <c r="C148" s="507">
        <v>4120</v>
      </c>
      <c r="D148" s="13" t="s">
        <v>397</v>
      </c>
      <c r="E148" s="21">
        <f t="shared" si="35"/>
        <v>533</v>
      </c>
      <c r="F148" s="21">
        <f t="shared" si="36"/>
        <v>533</v>
      </c>
      <c r="G148" s="21">
        <f t="shared" si="37"/>
        <v>533</v>
      </c>
      <c r="H148" s="263">
        <v>533</v>
      </c>
      <c r="I148" s="263"/>
      <c r="J148" s="263"/>
      <c r="K148" s="263"/>
      <c r="L148" s="263"/>
      <c r="M148" s="263"/>
      <c r="N148" s="263"/>
      <c r="O148" s="263"/>
    </row>
    <row r="149" spans="1:15" ht="12.75">
      <c r="A149" s="504"/>
      <c r="B149" s="506"/>
      <c r="C149" s="507">
        <v>4210</v>
      </c>
      <c r="D149" s="13" t="s">
        <v>308</v>
      </c>
      <c r="E149" s="21">
        <f t="shared" si="35"/>
        <v>2000</v>
      </c>
      <c r="F149" s="21">
        <f t="shared" si="36"/>
        <v>2000</v>
      </c>
      <c r="G149" s="21">
        <f t="shared" si="37"/>
        <v>2000</v>
      </c>
      <c r="H149" s="263"/>
      <c r="I149" s="263">
        <v>2000</v>
      </c>
      <c r="J149" s="263"/>
      <c r="K149" s="263"/>
      <c r="L149" s="263"/>
      <c r="M149" s="263"/>
      <c r="N149" s="263"/>
      <c r="O149" s="263"/>
    </row>
    <row r="150" spans="1:15" ht="12.75">
      <c r="A150" s="504"/>
      <c r="B150" s="506"/>
      <c r="C150" s="507">
        <v>4300</v>
      </c>
      <c r="D150" s="13" t="s">
        <v>318</v>
      </c>
      <c r="E150" s="21">
        <f t="shared" si="35"/>
        <v>18000</v>
      </c>
      <c r="F150" s="21">
        <f t="shared" si="36"/>
        <v>18000</v>
      </c>
      <c r="G150" s="21">
        <f t="shared" si="37"/>
        <v>18000</v>
      </c>
      <c r="H150" s="263"/>
      <c r="I150" s="263">
        <v>18000</v>
      </c>
      <c r="J150" s="263"/>
      <c r="K150" s="263"/>
      <c r="L150" s="263"/>
      <c r="M150" s="263"/>
      <c r="N150" s="263"/>
      <c r="O150" s="263"/>
    </row>
    <row r="151" spans="1:15" ht="12.75">
      <c r="A151" s="523">
        <v>757</v>
      </c>
      <c r="B151" s="524"/>
      <c r="C151" s="507"/>
      <c r="D151" s="513" t="s">
        <v>171</v>
      </c>
      <c r="E151" s="26">
        <f t="shared" si="35"/>
        <v>2021905</v>
      </c>
      <c r="F151" s="26">
        <f t="shared" si="36"/>
        <v>2021905</v>
      </c>
      <c r="G151" s="26">
        <f t="shared" si="37"/>
        <v>0</v>
      </c>
      <c r="H151" s="25">
        <f aca="true" t="shared" si="38" ref="H151:O151">SUM(H152)</f>
        <v>0</v>
      </c>
      <c r="I151" s="25">
        <f t="shared" si="38"/>
        <v>0</v>
      </c>
      <c r="J151" s="25">
        <f t="shared" si="38"/>
        <v>0</v>
      </c>
      <c r="K151" s="25">
        <f t="shared" si="38"/>
        <v>0</v>
      </c>
      <c r="L151" s="25">
        <f t="shared" si="38"/>
        <v>0</v>
      </c>
      <c r="M151" s="25">
        <f t="shared" si="38"/>
        <v>2021905</v>
      </c>
      <c r="N151" s="25">
        <f t="shared" si="38"/>
        <v>0</v>
      </c>
      <c r="O151" s="25">
        <f t="shared" si="38"/>
        <v>0</v>
      </c>
    </row>
    <row r="152" spans="1:15" ht="22.5">
      <c r="A152" s="504"/>
      <c r="B152" s="505">
        <v>75702</v>
      </c>
      <c r="C152" s="508"/>
      <c r="D152" s="387" t="s">
        <v>7</v>
      </c>
      <c r="E152" s="26">
        <f t="shared" si="35"/>
        <v>2021905</v>
      </c>
      <c r="F152" s="26">
        <f t="shared" si="36"/>
        <v>2021905</v>
      </c>
      <c r="G152" s="26">
        <f t="shared" si="37"/>
        <v>0</v>
      </c>
      <c r="H152" s="29">
        <f aca="true" t="shared" si="39" ref="H152:O152">SUM(H153:H154)</f>
        <v>0</v>
      </c>
      <c r="I152" s="29">
        <f t="shared" si="39"/>
        <v>0</v>
      </c>
      <c r="J152" s="29">
        <f t="shared" si="39"/>
        <v>0</v>
      </c>
      <c r="K152" s="29">
        <f t="shared" si="39"/>
        <v>0</v>
      </c>
      <c r="L152" s="29">
        <f t="shared" si="39"/>
        <v>0</v>
      </c>
      <c r="M152" s="29">
        <f t="shared" si="39"/>
        <v>2021905</v>
      </c>
      <c r="N152" s="29">
        <f t="shared" si="39"/>
        <v>0</v>
      </c>
      <c r="O152" s="29">
        <f t="shared" si="39"/>
        <v>0</v>
      </c>
    </row>
    <row r="153" spans="1:15" ht="22.5">
      <c r="A153" s="504"/>
      <c r="B153" s="505"/>
      <c r="C153" s="507">
        <v>8010</v>
      </c>
      <c r="D153" s="3" t="s">
        <v>508</v>
      </c>
      <c r="E153" s="21">
        <f t="shared" si="35"/>
        <v>27500</v>
      </c>
      <c r="F153" s="21">
        <f t="shared" si="36"/>
        <v>27500</v>
      </c>
      <c r="G153" s="21">
        <f t="shared" si="37"/>
        <v>0</v>
      </c>
      <c r="H153" s="263"/>
      <c r="I153" s="263"/>
      <c r="J153" s="263"/>
      <c r="K153" s="263"/>
      <c r="L153" s="263"/>
      <c r="M153" s="263">
        <v>27500</v>
      </c>
      <c r="N153" s="263"/>
      <c r="O153" s="263"/>
    </row>
    <row r="154" spans="1:15" ht="33.75">
      <c r="A154" s="504"/>
      <c r="B154" s="506"/>
      <c r="C154" s="507">
        <v>8110</v>
      </c>
      <c r="D154" s="14" t="s">
        <v>24</v>
      </c>
      <c r="E154" s="21">
        <f t="shared" si="35"/>
        <v>1994405</v>
      </c>
      <c r="F154" s="21">
        <f t="shared" si="36"/>
        <v>1994405</v>
      </c>
      <c r="G154" s="21">
        <f t="shared" si="37"/>
        <v>0</v>
      </c>
      <c r="H154" s="263"/>
      <c r="I154" s="263"/>
      <c r="J154" s="263"/>
      <c r="K154" s="263"/>
      <c r="L154" s="263"/>
      <c r="M154" s="263">
        <v>1994405</v>
      </c>
      <c r="N154" s="263"/>
      <c r="O154" s="263"/>
    </row>
    <row r="155" spans="1:15" ht="12.75">
      <c r="A155" s="523">
        <v>758</v>
      </c>
      <c r="B155" s="524"/>
      <c r="C155" s="507"/>
      <c r="D155" s="513" t="s">
        <v>172</v>
      </c>
      <c r="E155" s="26">
        <f t="shared" si="35"/>
        <v>48000</v>
      </c>
      <c r="F155" s="26">
        <f t="shared" si="36"/>
        <v>48000</v>
      </c>
      <c r="G155" s="26">
        <f t="shared" si="37"/>
        <v>48000</v>
      </c>
      <c r="H155" s="25">
        <f aca="true" t="shared" si="40" ref="H155:N155">SUM(+H156)</f>
        <v>0</v>
      </c>
      <c r="I155" s="25">
        <f t="shared" si="40"/>
        <v>48000</v>
      </c>
      <c r="J155" s="25">
        <f t="shared" si="40"/>
        <v>0</v>
      </c>
      <c r="K155" s="25">
        <f t="shared" si="40"/>
        <v>0</v>
      </c>
      <c r="L155" s="25">
        <f t="shared" si="40"/>
        <v>0</v>
      </c>
      <c r="M155" s="25">
        <f t="shared" si="40"/>
        <v>0</v>
      </c>
      <c r="N155" s="25">
        <f t="shared" si="40"/>
        <v>0</v>
      </c>
      <c r="O155" s="25">
        <f>SUM(+O156)</f>
        <v>0</v>
      </c>
    </row>
    <row r="156" spans="1:15" ht="12.75">
      <c r="A156" s="504"/>
      <c r="B156" s="505">
        <v>75818</v>
      </c>
      <c r="C156" s="508"/>
      <c r="D156" s="513" t="s">
        <v>173</v>
      </c>
      <c r="E156" s="26">
        <f t="shared" si="35"/>
        <v>48000</v>
      </c>
      <c r="F156" s="26">
        <f t="shared" si="36"/>
        <v>48000</v>
      </c>
      <c r="G156" s="26">
        <f t="shared" si="37"/>
        <v>48000</v>
      </c>
      <c r="H156" s="25">
        <f aca="true" t="shared" si="41" ref="H156:O156">SUM(H157)</f>
        <v>0</v>
      </c>
      <c r="I156" s="25">
        <f t="shared" si="41"/>
        <v>48000</v>
      </c>
      <c r="J156" s="25">
        <f t="shared" si="41"/>
        <v>0</v>
      </c>
      <c r="K156" s="25">
        <f t="shared" si="41"/>
        <v>0</v>
      </c>
      <c r="L156" s="25">
        <f t="shared" si="41"/>
        <v>0</v>
      </c>
      <c r="M156" s="25">
        <f t="shared" si="41"/>
        <v>0</v>
      </c>
      <c r="N156" s="25">
        <f t="shared" si="41"/>
        <v>0</v>
      </c>
      <c r="O156" s="25">
        <f t="shared" si="41"/>
        <v>0</v>
      </c>
    </row>
    <row r="157" spans="1:15" ht="12.75">
      <c r="A157" s="504"/>
      <c r="B157" s="506"/>
      <c r="C157" s="507">
        <v>4810</v>
      </c>
      <c r="D157" s="13" t="s">
        <v>3</v>
      </c>
      <c r="E157" s="21">
        <f t="shared" si="35"/>
        <v>48000</v>
      </c>
      <c r="F157" s="21">
        <f t="shared" si="36"/>
        <v>48000</v>
      </c>
      <c r="G157" s="21">
        <f t="shared" si="37"/>
        <v>48000</v>
      </c>
      <c r="H157" s="263"/>
      <c r="I157" s="263">
        <f>50000-2000</f>
        <v>48000</v>
      </c>
      <c r="J157" s="263"/>
      <c r="K157" s="263"/>
      <c r="L157" s="263"/>
      <c r="M157" s="263"/>
      <c r="N157" s="263"/>
      <c r="O157" s="263"/>
    </row>
    <row r="158" spans="1:15" ht="12.75">
      <c r="A158" s="523">
        <v>801</v>
      </c>
      <c r="B158" s="524"/>
      <c r="C158" s="507"/>
      <c r="D158" s="513" t="s">
        <v>62</v>
      </c>
      <c r="E158" s="26">
        <f t="shared" si="35"/>
        <v>34908959</v>
      </c>
      <c r="F158" s="26">
        <f t="shared" si="36"/>
        <v>34781459</v>
      </c>
      <c r="G158" s="26">
        <f t="shared" si="37"/>
        <v>32519517</v>
      </c>
      <c r="H158" s="25">
        <f aca="true" t="shared" si="42" ref="H158:O158">SUM(H298+H283+H278+H262+H244+H223+H199+H183+H159)</f>
        <v>26760383</v>
      </c>
      <c r="I158" s="25">
        <f t="shared" si="42"/>
        <v>5759134</v>
      </c>
      <c r="J158" s="25">
        <f t="shared" si="42"/>
        <v>64110</v>
      </c>
      <c r="K158" s="25">
        <f t="shared" si="42"/>
        <v>768044</v>
      </c>
      <c r="L158" s="25">
        <f t="shared" si="42"/>
        <v>1429788</v>
      </c>
      <c r="M158" s="25">
        <f t="shared" si="42"/>
        <v>0</v>
      </c>
      <c r="N158" s="25">
        <f t="shared" si="42"/>
        <v>127500</v>
      </c>
      <c r="O158" s="25">
        <f t="shared" si="42"/>
        <v>127500</v>
      </c>
    </row>
    <row r="159" spans="1:15" ht="12.75">
      <c r="A159" s="504"/>
      <c r="B159" s="505">
        <v>80101</v>
      </c>
      <c r="C159" s="508"/>
      <c r="D159" s="513" t="s">
        <v>59</v>
      </c>
      <c r="E159" s="26">
        <f t="shared" si="35"/>
        <v>15327544</v>
      </c>
      <c r="F159" s="26">
        <f t="shared" si="36"/>
        <v>15327544</v>
      </c>
      <c r="G159" s="26">
        <f t="shared" si="37"/>
        <v>14385414</v>
      </c>
      <c r="H159" s="25">
        <f aca="true" t="shared" si="43" ref="H159:O159">SUM(H160:H182)</f>
        <v>12629544</v>
      </c>
      <c r="I159" s="25">
        <f t="shared" si="43"/>
        <v>1755870</v>
      </c>
      <c r="J159" s="25">
        <f t="shared" si="43"/>
        <v>0</v>
      </c>
      <c r="K159" s="25">
        <f t="shared" si="43"/>
        <v>455077</v>
      </c>
      <c r="L159" s="25">
        <f t="shared" si="43"/>
        <v>487053</v>
      </c>
      <c r="M159" s="25">
        <f t="shared" si="43"/>
        <v>0</v>
      </c>
      <c r="N159" s="25">
        <f t="shared" si="43"/>
        <v>0</v>
      </c>
      <c r="O159" s="25">
        <f t="shared" si="43"/>
        <v>0</v>
      </c>
    </row>
    <row r="160" spans="1:15" ht="22.5">
      <c r="A160" s="504"/>
      <c r="B160" s="505"/>
      <c r="C160" s="507">
        <v>2540</v>
      </c>
      <c r="D160" s="14" t="s">
        <v>26</v>
      </c>
      <c r="E160" s="21">
        <f t="shared" si="35"/>
        <v>487053</v>
      </c>
      <c r="F160" s="21">
        <f t="shared" si="36"/>
        <v>487053</v>
      </c>
      <c r="G160" s="21">
        <f t="shared" si="37"/>
        <v>0</v>
      </c>
      <c r="H160" s="263"/>
      <c r="I160" s="263"/>
      <c r="J160" s="263"/>
      <c r="K160" s="263"/>
      <c r="L160" s="263">
        <v>487053</v>
      </c>
      <c r="M160" s="263"/>
      <c r="N160" s="263"/>
      <c r="O160" s="263"/>
    </row>
    <row r="161" spans="1:15" ht="12.75">
      <c r="A161" s="504"/>
      <c r="B161" s="506"/>
      <c r="C161" s="507">
        <v>3020</v>
      </c>
      <c r="D161" s="13" t="s">
        <v>27</v>
      </c>
      <c r="E161" s="21">
        <f t="shared" si="35"/>
        <v>455077</v>
      </c>
      <c r="F161" s="21">
        <f t="shared" si="36"/>
        <v>455077</v>
      </c>
      <c r="G161" s="21">
        <f t="shared" si="37"/>
        <v>0</v>
      </c>
      <c r="H161" s="263"/>
      <c r="I161" s="263"/>
      <c r="J161" s="263"/>
      <c r="K161" s="263">
        <v>455077</v>
      </c>
      <c r="L161" s="263"/>
      <c r="M161" s="263"/>
      <c r="N161" s="263"/>
      <c r="O161" s="263"/>
    </row>
    <row r="162" spans="1:15" ht="12.75">
      <c r="A162" s="504"/>
      <c r="B162" s="506"/>
      <c r="C162" s="507">
        <v>4010</v>
      </c>
      <c r="D162" s="13" t="s">
        <v>395</v>
      </c>
      <c r="E162" s="21">
        <f t="shared" si="35"/>
        <v>9904629</v>
      </c>
      <c r="F162" s="21">
        <f t="shared" si="36"/>
        <v>9904629</v>
      </c>
      <c r="G162" s="21">
        <f t="shared" si="37"/>
        <v>9904629</v>
      </c>
      <c r="H162" s="263">
        <v>9904629</v>
      </c>
      <c r="I162" s="263"/>
      <c r="J162" s="263"/>
      <c r="K162" s="263"/>
      <c r="L162" s="263"/>
      <c r="M162" s="263"/>
      <c r="N162" s="263"/>
      <c r="O162" s="263"/>
    </row>
    <row r="163" spans="1:15" ht="12.75">
      <c r="A163" s="504"/>
      <c r="B163" s="506"/>
      <c r="C163" s="507">
        <v>4040</v>
      </c>
      <c r="D163" s="14" t="s">
        <v>399</v>
      </c>
      <c r="E163" s="21">
        <f t="shared" si="35"/>
        <v>759876</v>
      </c>
      <c r="F163" s="21">
        <f t="shared" si="36"/>
        <v>759876</v>
      </c>
      <c r="G163" s="21">
        <f t="shared" si="37"/>
        <v>759876</v>
      </c>
      <c r="H163" s="263">
        <v>759876</v>
      </c>
      <c r="I163" s="263"/>
      <c r="J163" s="263"/>
      <c r="K163" s="263"/>
      <c r="L163" s="263"/>
      <c r="M163" s="263"/>
      <c r="N163" s="263"/>
      <c r="O163" s="263"/>
    </row>
    <row r="164" spans="1:15" ht="12.75">
      <c r="A164" s="504"/>
      <c r="B164" s="506"/>
      <c r="C164" s="507">
        <v>4110</v>
      </c>
      <c r="D164" s="14" t="s">
        <v>396</v>
      </c>
      <c r="E164" s="21">
        <f t="shared" si="35"/>
        <v>1665812</v>
      </c>
      <c r="F164" s="21">
        <f t="shared" si="36"/>
        <v>1665812</v>
      </c>
      <c r="G164" s="21">
        <f t="shared" si="37"/>
        <v>1665812</v>
      </c>
      <c r="H164" s="263">
        <f>1655812+10000</f>
        <v>1665812</v>
      </c>
      <c r="I164" s="263"/>
      <c r="J164" s="263"/>
      <c r="K164" s="263"/>
      <c r="L164" s="263"/>
      <c r="M164" s="263"/>
      <c r="N164" s="263"/>
      <c r="O164" s="263"/>
    </row>
    <row r="165" spans="1:15" ht="12.75">
      <c r="A165" s="504"/>
      <c r="B165" s="506"/>
      <c r="C165" s="507">
        <v>4120</v>
      </c>
      <c r="D165" s="14" t="s">
        <v>397</v>
      </c>
      <c r="E165" s="21">
        <f t="shared" si="35"/>
        <v>266411</v>
      </c>
      <c r="F165" s="21">
        <f t="shared" si="36"/>
        <v>266411</v>
      </c>
      <c r="G165" s="21">
        <f t="shared" si="37"/>
        <v>266411</v>
      </c>
      <c r="H165" s="263">
        <v>266411</v>
      </c>
      <c r="I165" s="263"/>
      <c r="J165" s="263"/>
      <c r="K165" s="263"/>
      <c r="L165" s="263"/>
      <c r="M165" s="263"/>
      <c r="N165" s="263"/>
      <c r="O165" s="263"/>
    </row>
    <row r="166" spans="1:15" ht="12.75">
      <c r="A166" s="504"/>
      <c r="B166" s="506"/>
      <c r="C166" s="507">
        <v>4140</v>
      </c>
      <c r="D166" s="14" t="s">
        <v>432</v>
      </c>
      <c r="E166" s="21">
        <f t="shared" si="35"/>
        <v>10000</v>
      </c>
      <c r="F166" s="21">
        <f t="shared" si="36"/>
        <v>10000</v>
      </c>
      <c r="G166" s="21">
        <f t="shared" si="37"/>
        <v>10000</v>
      </c>
      <c r="H166" s="263"/>
      <c r="I166" s="263">
        <v>10000</v>
      </c>
      <c r="J166" s="263"/>
      <c r="K166" s="263"/>
      <c r="L166" s="263"/>
      <c r="M166" s="263"/>
      <c r="N166" s="263"/>
      <c r="O166" s="263"/>
    </row>
    <row r="167" spans="1:15" ht="12.75">
      <c r="A167" s="504"/>
      <c r="B167" s="506"/>
      <c r="C167" s="507">
        <v>4170</v>
      </c>
      <c r="D167" s="14" t="s">
        <v>402</v>
      </c>
      <c r="E167" s="21">
        <f t="shared" si="35"/>
        <v>32816</v>
      </c>
      <c r="F167" s="21">
        <f t="shared" si="36"/>
        <v>32816</v>
      </c>
      <c r="G167" s="21">
        <f t="shared" si="37"/>
        <v>32816</v>
      </c>
      <c r="H167" s="263">
        <v>32816</v>
      </c>
      <c r="I167" s="263"/>
      <c r="J167" s="263"/>
      <c r="K167" s="263"/>
      <c r="L167" s="263"/>
      <c r="M167" s="263"/>
      <c r="N167" s="263"/>
      <c r="O167" s="263"/>
    </row>
    <row r="168" spans="1:15" ht="12.75">
      <c r="A168" s="504"/>
      <c r="B168" s="506"/>
      <c r="C168" s="507">
        <v>4210</v>
      </c>
      <c r="D168" s="13" t="s">
        <v>308</v>
      </c>
      <c r="E168" s="21">
        <f t="shared" si="35"/>
        <v>436213</v>
      </c>
      <c r="F168" s="21">
        <f t="shared" si="36"/>
        <v>436213</v>
      </c>
      <c r="G168" s="21">
        <f t="shared" si="37"/>
        <v>436213</v>
      </c>
      <c r="H168" s="263"/>
      <c r="I168" s="263">
        <f>446213-10000</f>
        <v>436213</v>
      </c>
      <c r="J168" s="263"/>
      <c r="K168" s="263"/>
      <c r="L168" s="263"/>
      <c r="M168" s="263"/>
      <c r="N168" s="263"/>
      <c r="O168" s="263"/>
    </row>
    <row r="169" spans="1:15" ht="12.75">
      <c r="A169" s="504"/>
      <c r="B169" s="506"/>
      <c r="C169" s="507">
        <v>4240</v>
      </c>
      <c r="D169" s="516" t="s">
        <v>28</v>
      </c>
      <c r="E169" s="21">
        <f t="shared" si="35"/>
        <v>14582</v>
      </c>
      <c r="F169" s="21">
        <f t="shared" si="36"/>
        <v>14582</v>
      </c>
      <c r="G169" s="21">
        <f t="shared" si="37"/>
        <v>14582</v>
      </c>
      <c r="H169" s="263"/>
      <c r="I169" s="263">
        <v>14582</v>
      </c>
      <c r="J169" s="263"/>
      <c r="K169" s="263"/>
      <c r="L169" s="263"/>
      <c r="M169" s="263"/>
      <c r="N169" s="263"/>
      <c r="O169" s="263"/>
    </row>
    <row r="170" spans="1:15" ht="12.75">
      <c r="A170" s="504"/>
      <c r="B170" s="506"/>
      <c r="C170" s="507">
        <v>4260</v>
      </c>
      <c r="D170" s="14" t="s">
        <v>408</v>
      </c>
      <c r="E170" s="21">
        <f t="shared" si="35"/>
        <v>355694</v>
      </c>
      <c r="F170" s="21">
        <f t="shared" si="36"/>
        <v>355694</v>
      </c>
      <c r="G170" s="21">
        <f t="shared" si="37"/>
        <v>355694</v>
      </c>
      <c r="H170" s="263"/>
      <c r="I170" s="263">
        <f>385694-30000</f>
        <v>355694</v>
      </c>
      <c r="J170" s="263"/>
      <c r="K170" s="263"/>
      <c r="L170" s="263"/>
      <c r="M170" s="263"/>
      <c r="N170" s="263"/>
      <c r="O170" s="263"/>
    </row>
    <row r="171" spans="1:15" ht="12.75">
      <c r="A171" s="504"/>
      <c r="B171" s="506"/>
      <c r="C171" s="507">
        <v>4270</v>
      </c>
      <c r="D171" s="14" t="s">
        <v>299</v>
      </c>
      <c r="E171" s="21">
        <f t="shared" si="35"/>
        <v>111695</v>
      </c>
      <c r="F171" s="21">
        <f t="shared" si="36"/>
        <v>111695</v>
      </c>
      <c r="G171" s="21">
        <f t="shared" si="37"/>
        <v>111695</v>
      </c>
      <c r="H171" s="263"/>
      <c r="I171" s="263">
        <v>111695</v>
      </c>
      <c r="J171" s="263"/>
      <c r="K171" s="263" t="s">
        <v>60</v>
      </c>
      <c r="L171" s="263"/>
      <c r="M171" s="263"/>
      <c r="N171" s="263"/>
      <c r="O171" s="263"/>
    </row>
    <row r="172" spans="1:15" ht="12.75">
      <c r="A172" s="504"/>
      <c r="B172" s="506"/>
      <c r="C172" s="507">
        <v>4280</v>
      </c>
      <c r="D172" s="14" t="s">
        <v>414</v>
      </c>
      <c r="E172" s="21">
        <f t="shared" si="35"/>
        <v>11896</v>
      </c>
      <c r="F172" s="21">
        <f t="shared" si="36"/>
        <v>11896</v>
      </c>
      <c r="G172" s="21">
        <f t="shared" si="37"/>
        <v>11896</v>
      </c>
      <c r="H172" s="263"/>
      <c r="I172" s="263">
        <v>11896</v>
      </c>
      <c r="J172" s="263"/>
      <c r="K172" s="263"/>
      <c r="L172" s="263"/>
      <c r="M172" s="263"/>
      <c r="N172" s="263"/>
      <c r="O172" s="263"/>
    </row>
    <row r="173" spans="1:15" ht="12.75">
      <c r="A173" s="504"/>
      <c r="B173" s="506"/>
      <c r="C173" s="507">
        <v>4300</v>
      </c>
      <c r="D173" s="13" t="s">
        <v>318</v>
      </c>
      <c r="E173" s="21">
        <f t="shared" si="35"/>
        <v>118475</v>
      </c>
      <c r="F173" s="21">
        <f t="shared" si="36"/>
        <v>118475</v>
      </c>
      <c r="G173" s="21">
        <f t="shared" si="37"/>
        <v>118475</v>
      </c>
      <c r="H173" s="263"/>
      <c r="I173" s="263">
        <f>138475-20000</f>
        <v>118475</v>
      </c>
      <c r="J173" s="263"/>
      <c r="K173" s="263"/>
      <c r="L173" s="263"/>
      <c r="M173" s="263"/>
      <c r="N173" s="263"/>
      <c r="O173" s="263"/>
    </row>
    <row r="174" spans="1:15" ht="12.75">
      <c r="A174" s="504"/>
      <c r="B174" s="506"/>
      <c r="C174" s="507">
        <v>4350</v>
      </c>
      <c r="D174" s="13" t="s">
        <v>415</v>
      </c>
      <c r="E174" s="21">
        <f t="shared" si="35"/>
        <v>6390</v>
      </c>
      <c r="F174" s="21">
        <f t="shared" si="36"/>
        <v>6390</v>
      </c>
      <c r="G174" s="21">
        <f t="shared" si="37"/>
        <v>6390</v>
      </c>
      <c r="H174" s="263"/>
      <c r="I174" s="263">
        <v>6390</v>
      </c>
      <c r="J174" s="263"/>
      <c r="K174" s="263"/>
      <c r="L174" s="263"/>
      <c r="M174" s="263"/>
      <c r="N174" s="263"/>
      <c r="O174" s="263"/>
    </row>
    <row r="175" spans="1:15" ht="22.5">
      <c r="A175" s="504"/>
      <c r="B175" s="506"/>
      <c r="C175" s="507">
        <v>4360</v>
      </c>
      <c r="D175" s="14" t="s">
        <v>431</v>
      </c>
      <c r="E175" s="21">
        <f t="shared" si="35"/>
        <v>4884</v>
      </c>
      <c r="F175" s="21">
        <f t="shared" si="36"/>
        <v>4884</v>
      </c>
      <c r="G175" s="21">
        <f t="shared" si="37"/>
        <v>4884</v>
      </c>
      <c r="H175" s="263"/>
      <c r="I175" s="263">
        <v>4884</v>
      </c>
      <c r="J175" s="263"/>
      <c r="K175" s="263"/>
      <c r="L175" s="263"/>
      <c r="M175" s="263"/>
      <c r="N175" s="263"/>
      <c r="O175" s="263"/>
    </row>
    <row r="176" spans="1:15" ht="22.5">
      <c r="A176" s="504"/>
      <c r="B176" s="506"/>
      <c r="C176" s="507">
        <v>4370</v>
      </c>
      <c r="D176" s="14" t="s">
        <v>429</v>
      </c>
      <c r="E176" s="21">
        <f t="shared" si="35"/>
        <v>31386</v>
      </c>
      <c r="F176" s="21">
        <f t="shared" si="36"/>
        <v>31386</v>
      </c>
      <c r="G176" s="21">
        <f t="shared" si="37"/>
        <v>31386</v>
      </c>
      <c r="H176" s="263"/>
      <c r="I176" s="263">
        <v>31386</v>
      </c>
      <c r="J176" s="263"/>
      <c r="K176" s="263"/>
      <c r="L176" s="263"/>
      <c r="M176" s="263"/>
      <c r="N176" s="263"/>
      <c r="O176" s="263"/>
    </row>
    <row r="177" spans="1:15" ht="12.75">
      <c r="A177" s="504"/>
      <c r="B177" s="506"/>
      <c r="C177" s="507">
        <v>4410</v>
      </c>
      <c r="D177" s="14" t="s">
        <v>404</v>
      </c>
      <c r="E177" s="21">
        <f t="shared" si="35"/>
        <v>14221</v>
      </c>
      <c r="F177" s="21">
        <f t="shared" si="36"/>
        <v>14221</v>
      </c>
      <c r="G177" s="21">
        <f t="shared" si="37"/>
        <v>14221</v>
      </c>
      <c r="H177" s="263"/>
      <c r="I177" s="263">
        <v>14221</v>
      </c>
      <c r="J177" s="263"/>
      <c r="K177" s="263"/>
      <c r="L177" s="263"/>
      <c r="M177" s="263"/>
      <c r="N177" s="263"/>
      <c r="O177" s="263"/>
    </row>
    <row r="178" spans="1:15" ht="12.75">
      <c r="A178" s="504"/>
      <c r="B178" s="506"/>
      <c r="C178" s="507">
        <v>4430</v>
      </c>
      <c r="D178" s="13" t="s">
        <v>398</v>
      </c>
      <c r="E178" s="21">
        <f t="shared" si="35"/>
        <v>3800</v>
      </c>
      <c r="F178" s="21">
        <f t="shared" si="36"/>
        <v>3800</v>
      </c>
      <c r="G178" s="21">
        <f t="shared" si="37"/>
        <v>3800</v>
      </c>
      <c r="H178" s="263"/>
      <c r="I178" s="263">
        <v>3800</v>
      </c>
      <c r="J178" s="263"/>
      <c r="K178" s="263"/>
      <c r="L178" s="263"/>
      <c r="M178" s="263"/>
      <c r="N178" s="263"/>
      <c r="O178" s="263"/>
    </row>
    <row r="179" spans="1:15" ht="12.75">
      <c r="A179" s="504"/>
      <c r="B179" s="506"/>
      <c r="C179" s="507">
        <v>4440</v>
      </c>
      <c r="D179" s="14" t="s">
        <v>416</v>
      </c>
      <c r="E179" s="21">
        <f t="shared" si="35"/>
        <v>613831</v>
      </c>
      <c r="F179" s="21">
        <f t="shared" si="36"/>
        <v>613831</v>
      </c>
      <c r="G179" s="21">
        <f t="shared" si="37"/>
        <v>613831</v>
      </c>
      <c r="H179" s="263"/>
      <c r="I179" s="263">
        <v>613831</v>
      </c>
      <c r="J179" s="263"/>
      <c r="K179" s="263"/>
      <c r="L179" s="263"/>
      <c r="M179" s="263"/>
      <c r="N179" s="263"/>
      <c r="O179" s="263"/>
    </row>
    <row r="180" spans="1:15" ht="12.75">
      <c r="A180" s="504"/>
      <c r="B180" s="506"/>
      <c r="C180" s="507">
        <v>4530</v>
      </c>
      <c r="D180" s="14" t="s">
        <v>434</v>
      </c>
      <c r="E180" s="21">
        <f t="shared" si="35"/>
        <v>16300</v>
      </c>
      <c r="F180" s="21">
        <f t="shared" si="36"/>
        <v>16300</v>
      </c>
      <c r="G180" s="21">
        <f t="shared" si="37"/>
        <v>16300</v>
      </c>
      <c r="H180" s="263"/>
      <c r="I180" s="263">
        <v>16300</v>
      </c>
      <c r="J180" s="263"/>
      <c r="K180" s="263"/>
      <c r="L180" s="263"/>
      <c r="M180" s="263"/>
      <c r="N180" s="263"/>
      <c r="O180" s="263"/>
    </row>
    <row r="181" spans="1:15" ht="12.75">
      <c r="A181" s="504"/>
      <c r="B181" s="506"/>
      <c r="C181" s="507">
        <v>4580</v>
      </c>
      <c r="D181" s="14" t="s">
        <v>386</v>
      </c>
      <c r="E181" s="21">
        <f t="shared" si="35"/>
        <v>1334</v>
      </c>
      <c r="F181" s="21">
        <f t="shared" si="36"/>
        <v>1334</v>
      </c>
      <c r="G181" s="21">
        <f t="shared" si="37"/>
        <v>1334</v>
      </c>
      <c r="H181" s="263"/>
      <c r="I181" s="263">
        <v>1334</v>
      </c>
      <c r="J181" s="263"/>
      <c r="K181" s="263"/>
      <c r="L181" s="263"/>
      <c r="M181" s="263"/>
      <c r="N181" s="263"/>
      <c r="O181" s="263"/>
    </row>
    <row r="182" spans="1:15" ht="22.5">
      <c r="A182" s="504"/>
      <c r="B182" s="506"/>
      <c r="C182" s="507">
        <v>4700</v>
      </c>
      <c r="D182" s="14" t="s">
        <v>319</v>
      </c>
      <c r="E182" s="21">
        <f t="shared" si="35"/>
        <v>5169</v>
      </c>
      <c r="F182" s="21">
        <f t="shared" si="36"/>
        <v>5169</v>
      </c>
      <c r="G182" s="21">
        <f t="shared" si="37"/>
        <v>5169</v>
      </c>
      <c r="H182" s="263" t="s">
        <v>60</v>
      </c>
      <c r="I182" s="263">
        <v>5169</v>
      </c>
      <c r="J182" s="263"/>
      <c r="K182" s="263"/>
      <c r="L182" s="263"/>
      <c r="M182" s="263"/>
      <c r="N182" s="263"/>
      <c r="O182" s="263"/>
    </row>
    <row r="183" spans="1:15" ht="22.5">
      <c r="A183" s="504"/>
      <c r="B183" s="505">
        <v>80103</v>
      </c>
      <c r="C183" s="508"/>
      <c r="D183" s="387" t="s">
        <v>29</v>
      </c>
      <c r="E183" s="26">
        <f t="shared" si="35"/>
        <v>1015683</v>
      </c>
      <c r="F183" s="26">
        <f t="shared" si="36"/>
        <v>1015683</v>
      </c>
      <c r="G183" s="26">
        <f t="shared" si="37"/>
        <v>964576</v>
      </c>
      <c r="H183" s="29">
        <f aca="true" t="shared" si="44" ref="H183:O183">SUM(H184:H198)</f>
        <v>795919</v>
      </c>
      <c r="I183" s="29">
        <f t="shared" si="44"/>
        <v>168657</v>
      </c>
      <c r="J183" s="29">
        <f t="shared" si="44"/>
        <v>0</v>
      </c>
      <c r="K183" s="29">
        <f t="shared" si="44"/>
        <v>51107</v>
      </c>
      <c r="L183" s="29">
        <f t="shared" si="44"/>
        <v>0</v>
      </c>
      <c r="M183" s="29">
        <f t="shared" si="44"/>
        <v>0</v>
      </c>
      <c r="N183" s="29">
        <f t="shared" si="44"/>
        <v>0</v>
      </c>
      <c r="O183" s="29">
        <f t="shared" si="44"/>
        <v>0</v>
      </c>
    </row>
    <row r="184" spans="1:15" ht="12.75">
      <c r="A184" s="504"/>
      <c r="B184" s="505"/>
      <c r="C184" s="507">
        <v>3020</v>
      </c>
      <c r="D184" s="13" t="s">
        <v>27</v>
      </c>
      <c r="E184" s="21">
        <f t="shared" si="35"/>
        <v>51107</v>
      </c>
      <c r="F184" s="21">
        <f t="shared" si="36"/>
        <v>51107</v>
      </c>
      <c r="G184" s="21">
        <f t="shared" si="37"/>
        <v>0</v>
      </c>
      <c r="H184" s="263"/>
      <c r="I184" s="263"/>
      <c r="J184" s="263"/>
      <c r="K184" s="263">
        <v>51107</v>
      </c>
      <c r="L184" s="263"/>
      <c r="M184" s="263"/>
      <c r="N184" s="263"/>
      <c r="O184" s="263"/>
    </row>
    <row r="185" spans="1:15" ht="12.75">
      <c r="A185" s="504"/>
      <c r="B185" s="505"/>
      <c r="C185" s="507">
        <v>4010</v>
      </c>
      <c r="D185" s="13" t="s">
        <v>395</v>
      </c>
      <c r="E185" s="21">
        <f t="shared" si="35"/>
        <v>623690</v>
      </c>
      <c r="F185" s="21">
        <f t="shared" si="36"/>
        <v>623690</v>
      </c>
      <c r="G185" s="21">
        <f t="shared" si="37"/>
        <v>623690</v>
      </c>
      <c r="H185" s="263">
        <v>623690</v>
      </c>
      <c r="I185" s="263"/>
      <c r="J185" s="263"/>
      <c r="K185" s="263"/>
      <c r="L185" s="263"/>
      <c r="M185" s="263"/>
      <c r="N185" s="263"/>
      <c r="O185" s="263"/>
    </row>
    <row r="186" spans="1:15" ht="12.75">
      <c r="A186" s="504"/>
      <c r="B186" s="505"/>
      <c r="C186" s="507">
        <v>4040</v>
      </c>
      <c r="D186" s="14" t="s">
        <v>399</v>
      </c>
      <c r="E186" s="21">
        <f t="shared" si="35"/>
        <v>48860</v>
      </c>
      <c r="F186" s="21">
        <f t="shared" si="36"/>
        <v>48860</v>
      </c>
      <c r="G186" s="21">
        <f t="shared" si="37"/>
        <v>48860</v>
      </c>
      <c r="H186" s="263">
        <v>48860</v>
      </c>
      <c r="I186" s="263"/>
      <c r="J186" s="263"/>
      <c r="K186" s="263"/>
      <c r="L186" s="263"/>
      <c r="M186" s="263"/>
      <c r="N186" s="263"/>
      <c r="O186" s="263"/>
    </row>
    <row r="187" spans="1:15" ht="12.75">
      <c r="A187" s="504"/>
      <c r="B187" s="505"/>
      <c r="C187" s="507">
        <v>4110</v>
      </c>
      <c r="D187" s="14" t="s">
        <v>396</v>
      </c>
      <c r="E187" s="21">
        <f t="shared" si="35"/>
        <v>106416</v>
      </c>
      <c r="F187" s="21">
        <f t="shared" si="36"/>
        <v>106416</v>
      </c>
      <c r="G187" s="21">
        <f t="shared" si="37"/>
        <v>106416</v>
      </c>
      <c r="H187" s="263">
        <v>106416</v>
      </c>
      <c r="I187" s="263"/>
      <c r="J187" s="263"/>
      <c r="K187" s="263"/>
      <c r="L187" s="263"/>
      <c r="M187" s="263"/>
      <c r="N187" s="263"/>
      <c r="O187" s="263"/>
    </row>
    <row r="188" spans="1:15" ht="12.75">
      <c r="A188" s="504"/>
      <c r="B188" s="505"/>
      <c r="C188" s="507">
        <v>4120</v>
      </c>
      <c r="D188" s="14" t="s">
        <v>397</v>
      </c>
      <c r="E188" s="21">
        <f t="shared" si="35"/>
        <v>16953</v>
      </c>
      <c r="F188" s="21">
        <f t="shared" si="36"/>
        <v>16953</v>
      </c>
      <c r="G188" s="21">
        <f t="shared" si="37"/>
        <v>16953</v>
      </c>
      <c r="H188" s="263">
        <v>16953</v>
      </c>
      <c r="I188" s="263"/>
      <c r="J188" s="263"/>
      <c r="K188" s="263"/>
      <c r="L188" s="263"/>
      <c r="M188" s="263"/>
      <c r="N188" s="263"/>
      <c r="O188" s="263"/>
    </row>
    <row r="189" spans="1:15" ht="12.75">
      <c r="A189" s="504"/>
      <c r="B189" s="506"/>
      <c r="C189" s="507">
        <v>4210</v>
      </c>
      <c r="D189" s="13" t="s">
        <v>308</v>
      </c>
      <c r="E189" s="21">
        <f t="shared" si="35"/>
        <v>70088</v>
      </c>
      <c r="F189" s="21">
        <f t="shared" si="36"/>
        <v>70088</v>
      </c>
      <c r="G189" s="21">
        <f t="shared" si="37"/>
        <v>70088</v>
      </c>
      <c r="H189" s="263"/>
      <c r="I189" s="263">
        <v>70088</v>
      </c>
      <c r="J189" s="263"/>
      <c r="K189" s="263"/>
      <c r="L189" s="263"/>
      <c r="M189" s="263"/>
      <c r="N189" s="263"/>
      <c r="O189" s="263"/>
    </row>
    <row r="190" spans="1:15" ht="12.75">
      <c r="A190" s="504"/>
      <c r="B190" s="506"/>
      <c r="C190" s="507">
        <v>4240</v>
      </c>
      <c r="D190" s="516" t="s">
        <v>28</v>
      </c>
      <c r="E190" s="21">
        <f t="shared" si="35"/>
        <v>1799</v>
      </c>
      <c r="F190" s="21">
        <f t="shared" si="36"/>
        <v>1799</v>
      </c>
      <c r="G190" s="21">
        <f t="shared" si="37"/>
        <v>1799</v>
      </c>
      <c r="H190" s="263"/>
      <c r="I190" s="263">
        <v>1799</v>
      </c>
      <c r="J190" s="263"/>
      <c r="K190" s="263"/>
      <c r="L190" s="263"/>
      <c r="M190" s="263"/>
      <c r="N190" s="263"/>
      <c r="O190" s="263"/>
    </row>
    <row r="191" spans="1:15" ht="12.75">
      <c r="A191" s="504"/>
      <c r="B191" s="506"/>
      <c r="C191" s="507">
        <v>4260</v>
      </c>
      <c r="D191" s="14" t="s">
        <v>408</v>
      </c>
      <c r="E191" s="21">
        <f t="shared" si="35"/>
        <v>38311</v>
      </c>
      <c r="F191" s="21">
        <f t="shared" si="36"/>
        <v>38311</v>
      </c>
      <c r="G191" s="21">
        <f t="shared" si="37"/>
        <v>38311</v>
      </c>
      <c r="H191" s="263"/>
      <c r="I191" s="263">
        <v>38311</v>
      </c>
      <c r="J191" s="263"/>
      <c r="K191" s="263"/>
      <c r="L191" s="263"/>
      <c r="M191" s="263"/>
      <c r="N191" s="263"/>
      <c r="O191" s="263"/>
    </row>
    <row r="192" spans="1:15" ht="12.75">
      <c r="A192" s="504"/>
      <c r="B192" s="506"/>
      <c r="C192" s="507">
        <v>4270</v>
      </c>
      <c r="D192" s="14" t="s">
        <v>299</v>
      </c>
      <c r="E192" s="21">
        <f t="shared" si="35"/>
        <v>1030</v>
      </c>
      <c r="F192" s="21">
        <f t="shared" si="36"/>
        <v>1030</v>
      </c>
      <c r="G192" s="21">
        <f t="shared" si="37"/>
        <v>1030</v>
      </c>
      <c r="H192" s="263"/>
      <c r="I192" s="263">
        <v>1030</v>
      </c>
      <c r="J192" s="263"/>
      <c r="K192" s="263"/>
      <c r="L192" s="263"/>
      <c r="M192" s="263"/>
      <c r="N192" s="263"/>
      <c r="O192" s="263"/>
    </row>
    <row r="193" spans="1:15" ht="12.75">
      <c r="A193" s="504"/>
      <c r="B193" s="506"/>
      <c r="C193" s="507">
        <v>4280</v>
      </c>
      <c r="D193" s="14" t="s">
        <v>414</v>
      </c>
      <c r="E193" s="21">
        <f t="shared" si="35"/>
        <v>535</v>
      </c>
      <c r="F193" s="21">
        <f t="shared" si="36"/>
        <v>535</v>
      </c>
      <c r="G193" s="21">
        <f t="shared" si="37"/>
        <v>535</v>
      </c>
      <c r="H193" s="263"/>
      <c r="I193" s="263">
        <v>535</v>
      </c>
      <c r="J193" s="263"/>
      <c r="K193" s="263"/>
      <c r="L193" s="263"/>
      <c r="M193" s="263"/>
      <c r="N193" s="263"/>
      <c r="O193" s="263"/>
    </row>
    <row r="194" spans="1:15" ht="12.75">
      <c r="A194" s="504"/>
      <c r="B194" s="506"/>
      <c r="C194" s="507">
        <v>4300</v>
      </c>
      <c r="D194" s="13" t="s">
        <v>318</v>
      </c>
      <c r="E194" s="21">
        <f t="shared" si="35"/>
        <v>15486</v>
      </c>
      <c r="F194" s="21">
        <f t="shared" si="36"/>
        <v>15486</v>
      </c>
      <c r="G194" s="21">
        <f t="shared" si="37"/>
        <v>15486</v>
      </c>
      <c r="H194" s="263"/>
      <c r="I194" s="263">
        <v>15486</v>
      </c>
      <c r="J194" s="263"/>
      <c r="K194" s="263"/>
      <c r="L194" s="263"/>
      <c r="M194" s="263"/>
      <c r="N194" s="263"/>
      <c r="O194" s="263"/>
    </row>
    <row r="195" spans="1:15" ht="22.5">
      <c r="A195" s="504"/>
      <c r="B195" s="506"/>
      <c r="C195" s="507">
        <v>4360</v>
      </c>
      <c r="D195" s="14" t="s">
        <v>431</v>
      </c>
      <c r="E195" s="21">
        <f t="shared" si="35"/>
        <v>1030</v>
      </c>
      <c r="F195" s="21">
        <f t="shared" si="36"/>
        <v>1030</v>
      </c>
      <c r="G195" s="21">
        <f t="shared" si="37"/>
        <v>1030</v>
      </c>
      <c r="H195" s="263"/>
      <c r="I195" s="263">
        <v>1030</v>
      </c>
      <c r="J195" s="263"/>
      <c r="K195" s="263"/>
      <c r="L195" s="263"/>
      <c r="M195" s="263"/>
      <c r="N195" s="263"/>
      <c r="O195" s="263"/>
    </row>
    <row r="196" spans="1:15" ht="22.5">
      <c r="A196" s="504"/>
      <c r="B196" s="506"/>
      <c r="C196" s="507">
        <v>4370</v>
      </c>
      <c r="D196" s="14" t="s">
        <v>429</v>
      </c>
      <c r="E196" s="21">
        <f t="shared" si="35"/>
        <v>1030</v>
      </c>
      <c r="F196" s="21">
        <f t="shared" si="36"/>
        <v>1030</v>
      </c>
      <c r="G196" s="21">
        <f t="shared" si="37"/>
        <v>1030</v>
      </c>
      <c r="H196" s="263"/>
      <c r="I196" s="263">
        <v>1030</v>
      </c>
      <c r="J196" s="263"/>
      <c r="K196" s="263"/>
      <c r="L196" s="263"/>
      <c r="M196" s="263"/>
      <c r="N196" s="263"/>
      <c r="O196" s="263"/>
    </row>
    <row r="197" spans="1:15" ht="12.75">
      <c r="A197" s="504"/>
      <c r="B197" s="506"/>
      <c r="C197" s="605">
        <v>4410</v>
      </c>
      <c r="D197" s="606" t="s">
        <v>404</v>
      </c>
      <c r="E197" s="21">
        <f aca="true" t="shared" si="45" ref="E197:E253">SUM(F197+N197)</f>
        <v>200</v>
      </c>
      <c r="F197" s="21">
        <f aca="true" t="shared" si="46" ref="F197:F253">SUM(J197:M197)+G197</f>
        <v>200</v>
      </c>
      <c r="G197" s="21">
        <f aca="true" t="shared" si="47" ref="G197:G253">SUM(H197:I197)</f>
        <v>200</v>
      </c>
      <c r="H197" s="263"/>
      <c r="I197" s="263">
        <v>200</v>
      </c>
      <c r="J197" s="263"/>
      <c r="K197" s="263"/>
      <c r="L197" s="263"/>
      <c r="M197" s="263"/>
      <c r="N197" s="263"/>
      <c r="O197" s="263"/>
    </row>
    <row r="198" spans="1:15" ht="12.75">
      <c r="A198" s="504"/>
      <c r="B198" s="506"/>
      <c r="C198" s="507">
        <v>4440</v>
      </c>
      <c r="D198" s="14" t="s">
        <v>416</v>
      </c>
      <c r="E198" s="21">
        <f t="shared" si="45"/>
        <v>39148</v>
      </c>
      <c r="F198" s="21">
        <f t="shared" si="46"/>
        <v>39148</v>
      </c>
      <c r="G198" s="21">
        <f t="shared" si="47"/>
        <v>39148</v>
      </c>
      <c r="H198" s="263"/>
      <c r="I198" s="263">
        <v>39148</v>
      </c>
      <c r="J198" s="263"/>
      <c r="K198" s="263"/>
      <c r="L198" s="263"/>
      <c r="M198" s="263"/>
      <c r="N198" s="263"/>
      <c r="O198" s="263"/>
    </row>
    <row r="199" spans="1:15" ht="12.75">
      <c r="A199" s="504"/>
      <c r="B199" s="505">
        <v>80104</v>
      </c>
      <c r="C199" s="508"/>
      <c r="D199" s="387" t="s">
        <v>113</v>
      </c>
      <c r="E199" s="26">
        <f t="shared" si="45"/>
        <v>4103540</v>
      </c>
      <c r="F199" s="26">
        <f t="shared" si="46"/>
        <v>3976040</v>
      </c>
      <c r="G199" s="26">
        <f t="shared" si="47"/>
        <v>3658574</v>
      </c>
      <c r="H199" s="29">
        <f aca="true" t="shared" si="48" ref="H199:O199">SUM(H200:H222)</f>
        <v>3051499</v>
      </c>
      <c r="I199" s="29">
        <f t="shared" si="48"/>
        <v>607075</v>
      </c>
      <c r="J199" s="29">
        <f t="shared" si="48"/>
        <v>0</v>
      </c>
      <c r="K199" s="29">
        <f t="shared" si="48"/>
        <v>13481</v>
      </c>
      <c r="L199" s="29">
        <f t="shared" si="48"/>
        <v>303985</v>
      </c>
      <c r="M199" s="29">
        <f t="shared" si="48"/>
        <v>0</v>
      </c>
      <c r="N199" s="29">
        <f t="shared" si="48"/>
        <v>127500</v>
      </c>
      <c r="O199" s="29">
        <f t="shared" si="48"/>
        <v>127500</v>
      </c>
    </row>
    <row r="200" spans="1:15" ht="22.5">
      <c r="A200" s="504"/>
      <c r="B200" s="505"/>
      <c r="C200" s="507">
        <v>2540</v>
      </c>
      <c r="D200" s="14" t="s">
        <v>26</v>
      </c>
      <c r="E200" s="21">
        <f t="shared" si="45"/>
        <v>303985</v>
      </c>
      <c r="F200" s="21">
        <f t="shared" si="46"/>
        <v>303985</v>
      </c>
      <c r="G200" s="21">
        <f t="shared" si="47"/>
        <v>0</v>
      </c>
      <c r="H200" s="263"/>
      <c r="I200" s="263"/>
      <c r="J200" s="263"/>
      <c r="K200" s="263">
        <v>0</v>
      </c>
      <c r="L200" s="263">
        <v>303985</v>
      </c>
      <c r="M200" s="263"/>
      <c r="N200" s="263"/>
      <c r="O200" s="263"/>
    </row>
    <row r="201" spans="1:15" ht="12.75">
      <c r="A201" s="504"/>
      <c r="B201" s="505"/>
      <c r="C201" s="507">
        <v>3020</v>
      </c>
      <c r="D201" s="13" t="s">
        <v>27</v>
      </c>
      <c r="E201" s="21">
        <f t="shared" si="45"/>
        <v>13481</v>
      </c>
      <c r="F201" s="21">
        <f t="shared" si="46"/>
        <v>13481</v>
      </c>
      <c r="G201" s="21">
        <f t="shared" si="47"/>
        <v>0</v>
      </c>
      <c r="H201" s="263"/>
      <c r="I201" s="263"/>
      <c r="J201" s="263"/>
      <c r="K201" s="263">
        <v>13481</v>
      </c>
      <c r="L201" s="263"/>
      <c r="M201" s="263"/>
      <c r="N201" s="263"/>
      <c r="O201" s="263"/>
    </row>
    <row r="202" spans="1:15" ht="12.75">
      <c r="A202" s="504"/>
      <c r="B202" s="506"/>
      <c r="C202" s="507">
        <v>4010</v>
      </c>
      <c r="D202" s="13" t="s">
        <v>395</v>
      </c>
      <c r="E202" s="21">
        <f t="shared" si="45"/>
        <v>2363201</v>
      </c>
      <c r="F202" s="21">
        <f t="shared" si="46"/>
        <v>2363201</v>
      </c>
      <c r="G202" s="21">
        <f t="shared" si="47"/>
        <v>2363201</v>
      </c>
      <c r="H202" s="263">
        <f>2463201-100000</f>
        <v>2363201</v>
      </c>
      <c r="I202" s="263"/>
      <c r="J202" s="263"/>
      <c r="K202" s="263"/>
      <c r="L202" s="263"/>
      <c r="M202" s="263"/>
      <c r="N202" s="263"/>
      <c r="O202" s="263"/>
    </row>
    <row r="203" spans="1:15" ht="12.75">
      <c r="A203" s="504"/>
      <c r="B203" s="506"/>
      <c r="C203" s="507">
        <v>4040</v>
      </c>
      <c r="D203" s="14" t="s">
        <v>399</v>
      </c>
      <c r="E203" s="21">
        <f t="shared" si="45"/>
        <v>171356</v>
      </c>
      <c r="F203" s="21">
        <f t="shared" si="46"/>
        <v>171356</v>
      </c>
      <c r="G203" s="21">
        <f t="shared" si="47"/>
        <v>171356</v>
      </c>
      <c r="H203" s="263">
        <v>171356</v>
      </c>
      <c r="I203" s="263"/>
      <c r="J203" s="263"/>
      <c r="K203" s="263"/>
      <c r="L203" s="263"/>
      <c r="M203" s="263"/>
      <c r="N203" s="263"/>
      <c r="O203" s="263"/>
    </row>
    <row r="204" spans="1:15" ht="12.75">
      <c r="A204" s="504"/>
      <c r="B204" s="506"/>
      <c r="C204" s="507">
        <v>4110</v>
      </c>
      <c r="D204" s="14" t="s">
        <v>396</v>
      </c>
      <c r="E204" s="21">
        <f t="shared" si="45"/>
        <v>409622</v>
      </c>
      <c r="F204" s="21">
        <f t="shared" si="46"/>
        <v>409622</v>
      </c>
      <c r="G204" s="21">
        <f t="shared" si="47"/>
        <v>409622</v>
      </c>
      <c r="H204" s="263">
        <v>409622</v>
      </c>
      <c r="I204" s="263"/>
      <c r="J204" s="263"/>
      <c r="K204" s="263"/>
      <c r="L204" s="263"/>
      <c r="M204" s="263"/>
      <c r="N204" s="263"/>
      <c r="O204" s="263"/>
    </row>
    <row r="205" spans="1:15" ht="12.75">
      <c r="A205" s="504"/>
      <c r="B205" s="506"/>
      <c r="C205" s="507">
        <v>4120</v>
      </c>
      <c r="D205" s="14" t="s">
        <v>397</v>
      </c>
      <c r="E205" s="21">
        <f t="shared" si="45"/>
        <v>62992</v>
      </c>
      <c r="F205" s="21">
        <f t="shared" si="46"/>
        <v>62992</v>
      </c>
      <c r="G205" s="21">
        <f t="shared" si="47"/>
        <v>62992</v>
      </c>
      <c r="H205" s="263">
        <v>62992</v>
      </c>
      <c r="I205" s="263"/>
      <c r="J205" s="263"/>
      <c r="K205" s="263"/>
      <c r="L205" s="263"/>
      <c r="M205" s="263"/>
      <c r="N205" s="263"/>
      <c r="O205" s="263"/>
    </row>
    <row r="206" spans="1:15" ht="12.75">
      <c r="A206" s="504"/>
      <c r="B206" s="506"/>
      <c r="C206" s="507">
        <v>4170</v>
      </c>
      <c r="D206" s="14" t="s">
        <v>402</v>
      </c>
      <c r="E206" s="21">
        <f t="shared" si="45"/>
        <v>44328</v>
      </c>
      <c r="F206" s="21">
        <f t="shared" si="46"/>
        <v>44328</v>
      </c>
      <c r="G206" s="21">
        <f t="shared" si="47"/>
        <v>44328</v>
      </c>
      <c r="H206" s="263">
        <v>44328</v>
      </c>
      <c r="I206" s="263"/>
      <c r="J206" s="263"/>
      <c r="K206" s="263"/>
      <c r="L206" s="263"/>
      <c r="M206" s="263" t="s">
        <v>60</v>
      </c>
      <c r="N206" s="263"/>
      <c r="O206" s="263"/>
    </row>
    <row r="207" spans="1:15" ht="12.75">
      <c r="A207" s="504"/>
      <c r="B207" s="506"/>
      <c r="C207" s="507">
        <v>4210</v>
      </c>
      <c r="D207" s="13" t="s">
        <v>308</v>
      </c>
      <c r="E207" s="21">
        <f t="shared" si="45"/>
        <v>68686</v>
      </c>
      <c r="F207" s="21">
        <f t="shared" si="46"/>
        <v>68686</v>
      </c>
      <c r="G207" s="21">
        <f t="shared" si="47"/>
        <v>68686</v>
      </c>
      <c r="H207" s="263"/>
      <c r="I207" s="263">
        <v>68686</v>
      </c>
      <c r="J207" s="263"/>
      <c r="K207" s="263"/>
      <c r="L207" s="263"/>
      <c r="M207" s="263"/>
      <c r="N207" s="263"/>
      <c r="O207" s="263"/>
    </row>
    <row r="208" spans="1:15" ht="12.75">
      <c r="A208" s="504"/>
      <c r="B208" s="506"/>
      <c r="C208" s="507">
        <v>4240</v>
      </c>
      <c r="D208" s="516" t="s">
        <v>28</v>
      </c>
      <c r="E208" s="21">
        <f t="shared" si="45"/>
        <v>20116</v>
      </c>
      <c r="F208" s="21">
        <f t="shared" si="46"/>
        <v>20116</v>
      </c>
      <c r="G208" s="21">
        <f t="shared" si="47"/>
        <v>20116</v>
      </c>
      <c r="H208" s="263"/>
      <c r="I208" s="263">
        <v>20116</v>
      </c>
      <c r="J208" s="263"/>
      <c r="K208" s="263"/>
      <c r="L208" s="263"/>
      <c r="M208" s="263"/>
      <c r="N208" s="263"/>
      <c r="O208" s="263"/>
    </row>
    <row r="209" spans="1:15" ht="12.75">
      <c r="A209" s="504"/>
      <c r="B209" s="506"/>
      <c r="C209" s="507">
        <v>4260</v>
      </c>
      <c r="D209" s="14" t="s">
        <v>408</v>
      </c>
      <c r="E209" s="21">
        <f t="shared" si="45"/>
        <v>166950</v>
      </c>
      <c r="F209" s="21">
        <f t="shared" si="46"/>
        <v>166950</v>
      </c>
      <c r="G209" s="21">
        <f t="shared" si="47"/>
        <v>166950</v>
      </c>
      <c r="H209" s="263"/>
      <c r="I209" s="263">
        <v>166950</v>
      </c>
      <c r="J209" s="263"/>
      <c r="K209" s="263"/>
      <c r="L209" s="263"/>
      <c r="M209" s="263"/>
      <c r="N209" s="263"/>
      <c r="O209" s="263"/>
    </row>
    <row r="210" spans="1:15" ht="12.75">
      <c r="A210" s="504"/>
      <c r="B210" s="506"/>
      <c r="C210" s="507">
        <v>4270</v>
      </c>
      <c r="D210" s="14" t="s">
        <v>299</v>
      </c>
      <c r="E210" s="21">
        <f t="shared" si="45"/>
        <v>132026</v>
      </c>
      <c r="F210" s="21">
        <f t="shared" si="46"/>
        <v>132026</v>
      </c>
      <c r="G210" s="21">
        <f t="shared" si="47"/>
        <v>132026</v>
      </c>
      <c r="H210" s="263"/>
      <c r="I210" s="263">
        <f>182026-50000</f>
        <v>132026</v>
      </c>
      <c r="J210" s="263"/>
      <c r="K210" s="263"/>
      <c r="L210" s="263"/>
      <c r="M210" s="263"/>
      <c r="N210" s="263"/>
      <c r="O210" s="263"/>
    </row>
    <row r="211" spans="1:15" ht="12.75">
      <c r="A211" s="504"/>
      <c r="B211" s="506"/>
      <c r="C211" s="507">
        <v>4280</v>
      </c>
      <c r="D211" s="14" t="s">
        <v>414</v>
      </c>
      <c r="E211" s="21">
        <f t="shared" si="45"/>
        <v>3534</v>
      </c>
      <c r="F211" s="21">
        <f t="shared" si="46"/>
        <v>3534</v>
      </c>
      <c r="G211" s="21">
        <f t="shared" si="47"/>
        <v>3534</v>
      </c>
      <c r="H211" s="263"/>
      <c r="I211" s="263">
        <v>3534</v>
      </c>
      <c r="J211" s="263"/>
      <c r="K211" s="263"/>
      <c r="L211" s="263"/>
      <c r="M211" s="263"/>
      <c r="N211" s="263"/>
      <c r="O211" s="263"/>
    </row>
    <row r="212" spans="1:15" ht="12.75">
      <c r="A212" s="504"/>
      <c r="B212" s="506"/>
      <c r="C212" s="507">
        <v>4300</v>
      </c>
      <c r="D212" s="13" t="s">
        <v>318</v>
      </c>
      <c r="E212" s="21">
        <f t="shared" si="45"/>
        <v>37726</v>
      </c>
      <c r="F212" s="21">
        <f t="shared" si="46"/>
        <v>37726</v>
      </c>
      <c r="G212" s="21">
        <f t="shared" si="47"/>
        <v>37726</v>
      </c>
      <c r="H212" s="263"/>
      <c r="I212" s="263">
        <v>37726</v>
      </c>
      <c r="J212" s="263"/>
      <c r="K212" s="263"/>
      <c r="L212" s="263"/>
      <c r="M212" s="263"/>
      <c r="N212" s="263"/>
      <c r="O212" s="263"/>
    </row>
    <row r="213" spans="1:15" ht="12.75">
      <c r="A213" s="504"/>
      <c r="B213" s="506"/>
      <c r="C213" s="507">
        <v>4350</v>
      </c>
      <c r="D213" s="13" t="s">
        <v>415</v>
      </c>
      <c r="E213" s="21">
        <f t="shared" si="45"/>
        <v>3856</v>
      </c>
      <c r="F213" s="21">
        <f t="shared" si="46"/>
        <v>3856</v>
      </c>
      <c r="G213" s="21">
        <f t="shared" si="47"/>
        <v>3856</v>
      </c>
      <c r="H213" s="263"/>
      <c r="I213" s="263">
        <v>3856</v>
      </c>
      <c r="J213" s="263"/>
      <c r="K213" s="263"/>
      <c r="L213" s="263"/>
      <c r="M213" s="263"/>
      <c r="N213" s="263"/>
      <c r="O213" s="263"/>
    </row>
    <row r="214" spans="1:15" ht="22.5">
      <c r="A214" s="504"/>
      <c r="B214" s="506"/>
      <c r="C214" s="507">
        <v>4360</v>
      </c>
      <c r="D214" s="14" t="s">
        <v>431</v>
      </c>
      <c r="E214" s="21">
        <f t="shared" si="45"/>
        <v>5152</v>
      </c>
      <c r="F214" s="21">
        <f t="shared" si="46"/>
        <v>5152</v>
      </c>
      <c r="G214" s="21">
        <f t="shared" si="47"/>
        <v>5152</v>
      </c>
      <c r="H214" s="263"/>
      <c r="I214" s="263">
        <v>5152</v>
      </c>
      <c r="J214" s="263"/>
      <c r="K214" s="263"/>
      <c r="L214" s="263"/>
      <c r="M214" s="263"/>
      <c r="N214" s="263"/>
      <c r="O214" s="263"/>
    </row>
    <row r="215" spans="1:15" ht="22.5">
      <c r="A215" s="504"/>
      <c r="B215" s="506"/>
      <c r="C215" s="507">
        <v>4370</v>
      </c>
      <c r="D215" s="14" t="s">
        <v>429</v>
      </c>
      <c r="E215" s="21">
        <f t="shared" si="45"/>
        <v>7229</v>
      </c>
      <c r="F215" s="21">
        <f t="shared" si="46"/>
        <v>7229</v>
      </c>
      <c r="G215" s="21">
        <f t="shared" si="47"/>
        <v>7229</v>
      </c>
      <c r="H215" s="263"/>
      <c r="I215" s="263">
        <v>7229</v>
      </c>
      <c r="J215" s="263"/>
      <c r="K215" s="263"/>
      <c r="L215" s="263"/>
      <c r="M215" s="263"/>
      <c r="N215" s="263"/>
      <c r="O215" s="263"/>
    </row>
    <row r="216" spans="1:15" ht="22.5">
      <c r="A216" s="504"/>
      <c r="B216" s="506"/>
      <c r="C216" s="507">
        <v>4390</v>
      </c>
      <c r="D216" s="14" t="s">
        <v>509</v>
      </c>
      <c r="E216" s="21">
        <f t="shared" si="45"/>
        <v>414</v>
      </c>
      <c r="F216" s="21">
        <f t="shared" si="46"/>
        <v>414</v>
      </c>
      <c r="G216" s="21">
        <f t="shared" si="47"/>
        <v>414</v>
      </c>
      <c r="H216" s="263"/>
      <c r="I216" s="263">
        <v>414</v>
      </c>
      <c r="J216" s="263"/>
      <c r="K216" s="263"/>
      <c r="L216" s="263"/>
      <c r="M216" s="263"/>
      <c r="N216" s="263"/>
      <c r="O216" s="263"/>
    </row>
    <row r="217" spans="1:15" ht="12.75">
      <c r="A217" s="504"/>
      <c r="B217" s="506"/>
      <c r="C217" s="507">
        <v>4410</v>
      </c>
      <c r="D217" s="14" t="s">
        <v>404</v>
      </c>
      <c r="E217" s="21">
        <f t="shared" si="45"/>
        <v>2140</v>
      </c>
      <c r="F217" s="21">
        <f t="shared" si="46"/>
        <v>2140</v>
      </c>
      <c r="G217" s="21">
        <f t="shared" si="47"/>
        <v>2140</v>
      </c>
      <c r="H217" s="263"/>
      <c r="I217" s="263">
        <v>2140</v>
      </c>
      <c r="J217" s="263"/>
      <c r="K217" s="263"/>
      <c r="L217" s="263"/>
      <c r="M217" s="263"/>
      <c r="N217" s="263"/>
      <c r="O217" s="263"/>
    </row>
    <row r="218" spans="1:15" ht="12.75">
      <c r="A218" s="504"/>
      <c r="B218" s="506"/>
      <c r="C218" s="507">
        <v>4440</v>
      </c>
      <c r="D218" s="14" t="s">
        <v>416</v>
      </c>
      <c r="E218" s="21">
        <f t="shared" si="45"/>
        <v>156480</v>
      </c>
      <c r="F218" s="21">
        <f t="shared" si="46"/>
        <v>156480</v>
      </c>
      <c r="G218" s="21">
        <f t="shared" si="47"/>
        <v>156480</v>
      </c>
      <c r="H218" s="263"/>
      <c r="I218" s="263">
        <f>163480-7000</f>
        <v>156480</v>
      </c>
      <c r="J218" s="263"/>
      <c r="K218" s="263"/>
      <c r="L218" s="263"/>
      <c r="M218" s="263"/>
      <c r="N218" s="263"/>
      <c r="O218" s="263"/>
    </row>
    <row r="219" spans="1:15" ht="12.75">
      <c r="A219" s="504"/>
      <c r="B219" s="506"/>
      <c r="C219" s="507">
        <v>4580</v>
      </c>
      <c r="D219" s="14" t="s">
        <v>386</v>
      </c>
      <c r="E219" s="21">
        <f t="shared" si="45"/>
        <v>0</v>
      </c>
      <c r="F219" s="21">
        <f t="shared" si="46"/>
        <v>0</v>
      </c>
      <c r="G219" s="21">
        <f t="shared" si="47"/>
        <v>0</v>
      </c>
      <c r="H219" s="263"/>
      <c r="I219" s="263">
        <v>0</v>
      </c>
      <c r="J219" s="263"/>
      <c r="K219" s="263"/>
      <c r="L219" s="263"/>
      <c r="M219" s="263"/>
      <c r="N219" s="263"/>
      <c r="O219" s="263"/>
    </row>
    <row r="220" spans="1:15" ht="22.5">
      <c r="A220" s="504"/>
      <c r="B220" s="506"/>
      <c r="C220" s="507">
        <v>4700</v>
      </c>
      <c r="D220" s="14" t="s">
        <v>319</v>
      </c>
      <c r="E220" s="21">
        <f t="shared" si="45"/>
        <v>2766</v>
      </c>
      <c r="F220" s="21">
        <f t="shared" si="46"/>
        <v>2766</v>
      </c>
      <c r="G220" s="21">
        <f t="shared" si="47"/>
        <v>2766</v>
      </c>
      <c r="H220" s="263"/>
      <c r="I220" s="263">
        <v>2766</v>
      </c>
      <c r="J220" s="263"/>
      <c r="K220" s="263"/>
      <c r="L220" s="263"/>
      <c r="M220" s="263"/>
      <c r="N220" s="263"/>
      <c r="O220" s="263"/>
    </row>
    <row r="221" spans="1:15" ht="12.75">
      <c r="A221" s="504"/>
      <c r="B221" s="506"/>
      <c r="C221" s="507">
        <v>6050</v>
      </c>
      <c r="D221" s="14" t="s">
        <v>309</v>
      </c>
      <c r="E221" s="21">
        <f>SUM(F221+N221)</f>
        <v>120000</v>
      </c>
      <c r="F221" s="21">
        <f>SUM(J221:M221)+G221</f>
        <v>0</v>
      </c>
      <c r="G221" s="21">
        <f>SUM(H221:I221)</f>
        <v>0</v>
      </c>
      <c r="H221" s="263"/>
      <c r="I221" s="263"/>
      <c r="J221" s="263"/>
      <c r="K221" s="263"/>
      <c r="L221" s="263"/>
      <c r="M221" s="263"/>
      <c r="N221" s="263">
        <v>120000</v>
      </c>
      <c r="O221" s="263">
        <v>120000</v>
      </c>
    </row>
    <row r="222" spans="1:15" ht="22.5">
      <c r="A222" s="504"/>
      <c r="B222" s="506"/>
      <c r="C222" s="605">
        <v>6060</v>
      </c>
      <c r="D222" s="606" t="s">
        <v>427</v>
      </c>
      <c r="E222" s="21">
        <f t="shared" si="45"/>
        <v>7500</v>
      </c>
      <c r="F222" s="21">
        <f t="shared" si="46"/>
        <v>0</v>
      </c>
      <c r="G222" s="21">
        <f t="shared" si="47"/>
        <v>0</v>
      </c>
      <c r="H222" s="263"/>
      <c r="I222" s="263"/>
      <c r="J222" s="263"/>
      <c r="K222" s="263"/>
      <c r="L222" s="263"/>
      <c r="M222" s="263"/>
      <c r="N222" s="263">
        <v>7500</v>
      </c>
      <c r="O222" s="263">
        <v>7500</v>
      </c>
    </row>
    <row r="223" spans="1:15" ht="12.75">
      <c r="A223" s="504"/>
      <c r="B223" s="505">
        <v>80110</v>
      </c>
      <c r="C223" s="508"/>
      <c r="D223" s="513" t="s">
        <v>116</v>
      </c>
      <c r="E223" s="26">
        <f t="shared" si="45"/>
        <v>9054872</v>
      </c>
      <c r="F223" s="26">
        <f t="shared" si="46"/>
        <v>9054872</v>
      </c>
      <c r="G223" s="26">
        <f t="shared" si="47"/>
        <v>8284152</v>
      </c>
      <c r="H223" s="25">
        <f aca="true" t="shared" si="49" ref="H223:O223">SUM(H224:H243)</f>
        <v>7296119</v>
      </c>
      <c r="I223" s="25">
        <f t="shared" si="49"/>
        <v>988033</v>
      </c>
      <c r="J223" s="25">
        <f t="shared" si="49"/>
        <v>0</v>
      </c>
      <c r="K223" s="25">
        <f t="shared" si="49"/>
        <v>152470</v>
      </c>
      <c r="L223" s="25">
        <f t="shared" si="49"/>
        <v>618250</v>
      </c>
      <c r="M223" s="25">
        <f t="shared" si="49"/>
        <v>0</v>
      </c>
      <c r="N223" s="25">
        <f t="shared" si="49"/>
        <v>0</v>
      </c>
      <c r="O223" s="25">
        <f t="shared" si="49"/>
        <v>0</v>
      </c>
    </row>
    <row r="224" spans="1:15" ht="22.5">
      <c r="A224" s="504"/>
      <c r="B224" s="505"/>
      <c r="C224" s="507">
        <v>2540</v>
      </c>
      <c r="D224" s="14" t="s">
        <v>26</v>
      </c>
      <c r="E224" s="21">
        <f t="shared" si="45"/>
        <v>618250</v>
      </c>
      <c r="F224" s="21">
        <f t="shared" si="46"/>
        <v>618250</v>
      </c>
      <c r="G224" s="21">
        <f t="shared" si="47"/>
        <v>0</v>
      </c>
      <c r="H224" s="263"/>
      <c r="I224" s="263"/>
      <c r="J224" s="263"/>
      <c r="K224" s="263"/>
      <c r="L224" s="263">
        <v>618250</v>
      </c>
      <c r="M224" s="263"/>
      <c r="N224" s="263"/>
      <c r="O224" s="263"/>
    </row>
    <row r="225" spans="1:15" ht="12.75">
      <c r="A225" s="504"/>
      <c r="B225" s="505"/>
      <c r="C225" s="507">
        <v>3020</v>
      </c>
      <c r="D225" s="13" t="s">
        <v>27</v>
      </c>
      <c r="E225" s="21">
        <f t="shared" si="45"/>
        <v>152470</v>
      </c>
      <c r="F225" s="21">
        <f t="shared" si="46"/>
        <v>152470</v>
      </c>
      <c r="G225" s="21">
        <f t="shared" si="47"/>
        <v>0</v>
      </c>
      <c r="H225" s="263"/>
      <c r="I225" s="263"/>
      <c r="J225" s="263"/>
      <c r="K225" s="263">
        <v>152470</v>
      </c>
      <c r="L225" s="263"/>
      <c r="M225" s="263"/>
      <c r="N225" s="263"/>
      <c r="O225" s="263"/>
    </row>
    <row r="226" spans="1:15" ht="12.75">
      <c r="A226" s="504"/>
      <c r="B226" s="505"/>
      <c r="C226" s="507">
        <v>4010</v>
      </c>
      <c r="D226" s="13" t="s">
        <v>395</v>
      </c>
      <c r="E226" s="21">
        <f t="shared" si="45"/>
        <v>5748111</v>
      </c>
      <c r="F226" s="21">
        <f t="shared" si="46"/>
        <v>5748111</v>
      </c>
      <c r="G226" s="21">
        <f t="shared" si="47"/>
        <v>5748111</v>
      </c>
      <c r="H226" s="263">
        <f>6048111-300000</f>
        <v>5748111</v>
      </c>
      <c r="I226" s="263"/>
      <c r="J226" s="263"/>
      <c r="K226" s="263"/>
      <c r="L226" s="263"/>
      <c r="M226" s="263"/>
      <c r="N226" s="263"/>
      <c r="O226" s="263"/>
    </row>
    <row r="227" spans="1:15" ht="12.75">
      <c r="A227" s="504"/>
      <c r="B227" s="505"/>
      <c r="C227" s="507">
        <v>4040</v>
      </c>
      <c r="D227" s="14" t="s">
        <v>399</v>
      </c>
      <c r="E227" s="21">
        <f t="shared" si="45"/>
        <v>439550</v>
      </c>
      <c r="F227" s="21">
        <f t="shared" si="46"/>
        <v>439550</v>
      </c>
      <c r="G227" s="21">
        <f t="shared" si="47"/>
        <v>439550</v>
      </c>
      <c r="H227" s="263">
        <v>439550</v>
      </c>
      <c r="I227" s="263"/>
      <c r="J227" s="263"/>
      <c r="K227" s="263"/>
      <c r="L227" s="263"/>
      <c r="M227" s="263"/>
      <c r="N227" s="263"/>
      <c r="O227" s="263"/>
    </row>
    <row r="228" spans="1:15" ht="12.75">
      <c r="A228" s="504"/>
      <c r="B228" s="505"/>
      <c r="C228" s="507">
        <v>4110</v>
      </c>
      <c r="D228" s="14" t="s">
        <v>396</v>
      </c>
      <c r="E228" s="21">
        <f t="shared" si="45"/>
        <v>948516</v>
      </c>
      <c r="F228" s="21">
        <f t="shared" si="46"/>
        <v>948516</v>
      </c>
      <c r="G228" s="21">
        <f t="shared" si="47"/>
        <v>948516</v>
      </c>
      <c r="H228" s="263">
        <f>958516-10000</f>
        <v>948516</v>
      </c>
      <c r="I228" s="263"/>
      <c r="J228" s="263"/>
      <c r="K228" s="263"/>
      <c r="L228" s="263"/>
      <c r="M228" s="263"/>
      <c r="N228" s="263"/>
      <c r="O228" s="263"/>
    </row>
    <row r="229" spans="1:15" ht="12.75">
      <c r="A229" s="504"/>
      <c r="B229" s="505"/>
      <c r="C229" s="507">
        <v>4120</v>
      </c>
      <c r="D229" s="14" t="s">
        <v>397</v>
      </c>
      <c r="E229" s="21">
        <f t="shared" si="45"/>
        <v>150522</v>
      </c>
      <c r="F229" s="21">
        <f t="shared" si="46"/>
        <v>150522</v>
      </c>
      <c r="G229" s="21">
        <f t="shared" si="47"/>
        <v>150522</v>
      </c>
      <c r="H229" s="263">
        <f>155522-5000</f>
        <v>150522</v>
      </c>
      <c r="I229" s="263"/>
      <c r="J229" s="263"/>
      <c r="K229" s="263"/>
      <c r="L229" s="263"/>
      <c r="M229" s="263"/>
      <c r="N229" s="263"/>
      <c r="O229" s="263"/>
    </row>
    <row r="230" spans="1:15" ht="12.75">
      <c r="A230" s="504"/>
      <c r="B230" s="505"/>
      <c r="C230" s="507">
        <v>4170</v>
      </c>
      <c r="D230" s="14" t="s">
        <v>402</v>
      </c>
      <c r="E230" s="21">
        <f t="shared" si="45"/>
        <v>9420</v>
      </c>
      <c r="F230" s="21">
        <f t="shared" si="46"/>
        <v>9420</v>
      </c>
      <c r="G230" s="21">
        <f t="shared" si="47"/>
        <v>9420</v>
      </c>
      <c r="H230" s="263">
        <v>9420</v>
      </c>
      <c r="I230" s="263"/>
      <c r="J230" s="263"/>
      <c r="K230" s="263"/>
      <c r="L230" s="263"/>
      <c r="M230" s="263"/>
      <c r="N230" s="263"/>
      <c r="O230" s="263"/>
    </row>
    <row r="231" spans="1:15" ht="12.75">
      <c r="A231" s="504"/>
      <c r="B231" s="506"/>
      <c r="C231" s="507">
        <v>4210</v>
      </c>
      <c r="D231" s="13" t="s">
        <v>308</v>
      </c>
      <c r="E231" s="21">
        <f t="shared" si="45"/>
        <v>230214</v>
      </c>
      <c r="F231" s="21">
        <f t="shared" si="46"/>
        <v>230214</v>
      </c>
      <c r="G231" s="21">
        <f t="shared" si="47"/>
        <v>230214</v>
      </c>
      <c r="H231" s="263"/>
      <c r="I231" s="263">
        <v>230214</v>
      </c>
      <c r="J231" s="263"/>
      <c r="K231" s="263"/>
      <c r="L231" s="263"/>
      <c r="M231" s="263"/>
      <c r="N231" s="263"/>
      <c r="O231" s="263"/>
    </row>
    <row r="232" spans="1:15" ht="12.75">
      <c r="A232" s="504"/>
      <c r="B232" s="506"/>
      <c r="C232" s="507">
        <v>4240</v>
      </c>
      <c r="D232" s="516" t="s">
        <v>28</v>
      </c>
      <c r="E232" s="21">
        <f t="shared" si="45"/>
        <v>13874</v>
      </c>
      <c r="F232" s="21">
        <f t="shared" si="46"/>
        <v>13874</v>
      </c>
      <c r="G232" s="21">
        <f t="shared" si="47"/>
        <v>13874</v>
      </c>
      <c r="H232" s="263"/>
      <c r="I232" s="263">
        <v>13874</v>
      </c>
      <c r="J232" s="263"/>
      <c r="K232" s="263"/>
      <c r="L232" s="263"/>
      <c r="M232" s="263"/>
      <c r="N232" s="263"/>
      <c r="O232" s="263"/>
    </row>
    <row r="233" spans="1:15" ht="12.75">
      <c r="A233" s="504"/>
      <c r="B233" s="506"/>
      <c r="C233" s="507">
        <v>4260</v>
      </c>
      <c r="D233" s="14" t="s">
        <v>408</v>
      </c>
      <c r="E233" s="21">
        <f t="shared" si="45"/>
        <v>228455</v>
      </c>
      <c r="F233" s="21">
        <f t="shared" si="46"/>
        <v>228455</v>
      </c>
      <c r="G233" s="21">
        <f t="shared" si="47"/>
        <v>228455</v>
      </c>
      <c r="H233" s="263"/>
      <c r="I233" s="263">
        <f>248455-20000</f>
        <v>228455</v>
      </c>
      <c r="J233" s="263"/>
      <c r="K233" s="263"/>
      <c r="L233" s="263"/>
      <c r="M233" s="263"/>
      <c r="N233" s="263"/>
      <c r="O233" s="263"/>
    </row>
    <row r="234" spans="1:15" ht="12.75">
      <c r="A234" s="504"/>
      <c r="B234" s="506"/>
      <c r="C234" s="507">
        <v>4270</v>
      </c>
      <c r="D234" s="14" t="s">
        <v>299</v>
      </c>
      <c r="E234" s="21">
        <f t="shared" si="45"/>
        <v>50790</v>
      </c>
      <c r="F234" s="21">
        <f t="shared" si="46"/>
        <v>50790</v>
      </c>
      <c r="G234" s="21">
        <f t="shared" si="47"/>
        <v>50790</v>
      </c>
      <c r="H234" s="263"/>
      <c r="I234" s="263">
        <v>50790</v>
      </c>
      <c r="J234" s="263"/>
      <c r="K234" s="263"/>
      <c r="L234" s="263"/>
      <c r="M234" s="263"/>
      <c r="N234" s="263"/>
      <c r="O234" s="263"/>
    </row>
    <row r="235" spans="1:15" ht="12.75">
      <c r="A235" s="504"/>
      <c r="B235" s="506"/>
      <c r="C235" s="507">
        <v>4280</v>
      </c>
      <c r="D235" s="14" t="s">
        <v>414</v>
      </c>
      <c r="E235" s="21">
        <f t="shared" si="45"/>
        <v>3432</v>
      </c>
      <c r="F235" s="21">
        <f t="shared" si="46"/>
        <v>3432</v>
      </c>
      <c r="G235" s="21">
        <f t="shared" si="47"/>
        <v>3432</v>
      </c>
      <c r="H235" s="263"/>
      <c r="I235" s="263">
        <v>3432</v>
      </c>
      <c r="J235" s="263"/>
      <c r="K235" s="263" t="s">
        <v>60</v>
      </c>
      <c r="L235" s="263"/>
      <c r="M235" s="263"/>
      <c r="N235" s="263"/>
      <c r="O235" s="263"/>
    </row>
    <row r="236" spans="1:15" ht="12.75">
      <c r="A236" s="504"/>
      <c r="B236" s="506"/>
      <c r="C236" s="507">
        <v>4300</v>
      </c>
      <c r="D236" s="13" t="s">
        <v>318</v>
      </c>
      <c r="E236" s="21">
        <f t="shared" si="45"/>
        <v>79222</v>
      </c>
      <c r="F236" s="21">
        <f t="shared" si="46"/>
        <v>79222</v>
      </c>
      <c r="G236" s="21">
        <f t="shared" si="47"/>
        <v>79222</v>
      </c>
      <c r="H236" s="263"/>
      <c r="I236" s="263">
        <v>79222</v>
      </c>
      <c r="J236" s="263"/>
      <c r="K236" s="263"/>
      <c r="L236" s="263"/>
      <c r="M236" s="263"/>
      <c r="N236" s="263"/>
      <c r="O236" s="263"/>
    </row>
    <row r="237" spans="1:15" ht="12.75">
      <c r="A237" s="504"/>
      <c r="B237" s="506"/>
      <c r="C237" s="507">
        <v>4350</v>
      </c>
      <c r="D237" s="13" t="s">
        <v>415</v>
      </c>
      <c r="E237" s="21">
        <f t="shared" si="45"/>
        <v>1338</v>
      </c>
      <c r="F237" s="21">
        <f t="shared" si="46"/>
        <v>1338</v>
      </c>
      <c r="G237" s="21">
        <f t="shared" si="47"/>
        <v>1338</v>
      </c>
      <c r="H237" s="263"/>
      <c r="I237" s="263">
        <v>1338</v>
      </c>
      <c r="J237" s="263"/>
      <c r="K237" s="263"/>
      <c r="L237" s="263"/>
      <c r="M237" s="263"/>
      <c r="N237" s="263"/>
      <c r="O237" s="263"/>
    </row>
    <row r="238" spans="1:15" ht="22.5">
      <c r="A238" s="504"/>
      <c r="B238" s="506"/>
      <c r="C238" s="507">
        <v>4360</v>
      </c>
      <c r="D238" s="14" t="s">
        <v>431</v>
      </c>
      <c r="E238" s="21">
        <f t="shared" si="45"/>
        <v>2637</v>
      </c>
      <c r="F238" s="21">
        <f t="shared" si="46"/>
        <v>2637</v>
      </c>
      <c r="G238" s="21">
        <f t="shared" si="47"/>
        <v>2637</v>
      </c>
      <c r="H238" s="263"/>
      <c r="I238" s="263">
        <v>2637</v>
      </c>
      <c r="J238" s="263"/>
      <c r="K238" s="263"/>
      <c r="L238" s="263"/>
      <c r="M238" s="263"/>
      <c r="N238" s="263"/>
      <c r="O238" s="263"/>
    </row>
    <row r="239" spans="1:15" ht="22.5">
      <c r="A239" s="504"/>
      <c r="B239" s="506"/>
      <c r="C239" s="507">
        <v>4370</v>
      </c>
      <c r="D239" s="14" t="s">
        <v>429</v>
      </c>
      <c r="E239" s="21">
        <f t="shared" si="45"/>
        <v>10844</v>
      </c>
      <c r="F239" s="21">
        <f t="shared" si="46"/>
        <v>10844</v>
      </c>
      <c r="G239" s="21">
        <f t="shared" si="47"/>
        <v>10844</v>
      </c>
      <c r="H239" s="263"/>
      <c r="I239" s="263">
        <v>10844</v>
      </c>
      <c r="J239" s="263"/>
      <c r="K239" s="263"/>
      <c r="L239" s="263"/>
      <c r="M239" s="263"/>
      <c r="N239" s="263"/>
      <c r="O239" s="263"/>
    </row>
    <row r="240" spans="1:15" ht="12.75">
      <c r="A240" s="504"/>
      <c r="B240" s="506"/>
      <c r="C240" s="507">
        <v>4410</v>
      </c>
      <c r="D240" s="14" t="s">
        <v>404</v>
      </c>
      <c r="E240" s="21">
        <f t="shared" si="45"/>
        <v>9603</v>
      </c>
      <c r="F240" s="21">
        <f t="shared" si="46"/>
        <v>9603</v>
      </c>
      <c r="G240" s="21">
        <f t="shared" si="47"/>
        <v>9603</v>
      </c>
      <c r="H240" s="263"/>
      <c r="I240" s="263">
        <v>9603</v>
      </c>
      <c r="J240" s="263"/>
      <c r="K240" s="263"/>
      <c r="L240" s="263"/>
      <c r="M240" s="263"/>
      <c r="N240" s="263"/>
      <c r="O240" s="263"/>
    </row>
    <row r="241" spans="1:15" ht="12.75">
      <c r="A241" s="504"/>
      <c r="B241" s="506"/>
      <c r="C241" s="507">
        <v>4440</v>
      </c>
      <c r="D241" s="14" t="s">
        <v>416</v>
      </c>
      <c r="E241" s="21">
        <f t="shared" si="45"/>
        <v>348716</v>
      </c>
      <c r="F241" s="21">
        <f t="shared" si="46"/>
        <v>348716</v>
      </c>
      <c r="G241" s="21">
        <f t="shared" si="47"/>
        <v>348716</v>
      </c>
      <c r="H241" s="263"/>
      <c r="I241" s="263">
        <f>363716-15000</f>
        <v>348716</v>
      </c>
      <c r="J241" s="263"/>
      <c r="K241" s="263"/>
      <c r="L241" s="263"/>
      <c r="M241" s="263"/>
      <c r="N241" s="263"/>
      <c r="O241" s="263"/>
    </row>
    <row r="242" spans="1:15" ht="12.75">
      <c r="A242" s="504"/>
      <c r="B242" s="506"/>
      <c r="C242" s="507">
        <v>4530</v>
      </c>
      <c r="D242" s="14" t="s">
        <v>434</v>
      </c>
      <c r="E242" s="21">
        <f t="shared" si="45"/>
        <v>6000</v>
      </c>
      <c r="F242" s="21">
        <f t="shared" si="46"/>
        <v>6000</v>
      </c>
      <c r="G242" s="21">
        <f t="shared" si="47"/>
        <v>6000</v>
      </c>
      <c r="H242" s="263"/>
      <c r="I242" s="263">
        <v>6000</v>
      </c>
      <c r="J242" s="263"/>
      <c r="K242" s="263"/>
      <c r="L242" s="263"/>
      <c r="M242" s="263"/>
      <c r="N242" s="263"/>
      <c r="O242" s="263"/>
    </row>
    <row r="243" spans="1:15" ht="22.5">
      <c r="A243" s="504"/>
      <c r="B243" s="506"/>
      <c r="C243" s="507">
        <v>4700</v>
      </c>
      <c r="D243" s="14" t="s">
        <v>319</v>
      </c>
      <c r="E243" s="21">
        <f t="shared" si="45"/>
        <v>2908</v>
      </c>
      <c r="F243" s="21">
        <f t="shared" si="46"/>
        <v>2908</v>
      </c>
      <c r="G243" s="21">
        <f t="shared" si="47"/>
        <v>2908</v>
      </c>
      <c r="H243" s="263"/>
      <c r="I243" s="263">
        <v>2908</v>
      </c>
      <c r="J243" s="263"/>
      <c r="K243" s="263"/>
      <c r="L243" s="263"/>
      <c r="M243" s="263"/>
      <c r="N243" s="263"/>
      <c r="O243" s="263"/>
    </row>
    <row r="244" spans="1:15" ht="22.5">
      <c r="A244" s="509"/>
      <c r="B244" s="382">
        <v>80114</v>
      </c>
      <c r="C244" s="517"/>
      <c r="D244" s="518" t="s">
        <v>175</v>
      </c>
      <c r="E244" s="26">
        <f t="shared" si="45"/>
        <v>414429</v>
      </c>
      <c r="F244" s="26">
        <f t="shared" si="46"/>
        <v>414429</v>
      </c>
      <c r="G244" s="26">
        <f t="shared" si="47"/>
        <v>412379</v>
      </c>
      <c r="H244" s="528">
        <f aca="true" t="shared" si="50" ref="H244:O244">SUM(H245:H261)</f>
        <v>367427</v>
      </c>
      <c r="I244" s="528">
        <f t="shared" si="50"/>
        <v>44952</v>
      </c>
      <c r="J244" s="528">
        <f t="shared" si="50"/>
        <v>0</v>
      </c>
      <c r="K244" s="528">
        <f t="shared" si="50"/>
        <v>2050</v>
      </c>
      <c r="L244" s="528">
        <f t="shared" si="50"/>
        <v>0</v>
      </c>
      <c r="M244" s="528">
        <f t="shared" si="50"/>
        <v>0</v>
      </c>
      <c r="N244" s="528">
        <f t="shared" si="50"/>
        <v>0</v>
      </c>
      <c r="O244" s="528">
        <f t="shared" si="50"/>
        <v>0</v>
      </c>
    </row>
    <row r="245" spans="1:15" ht="12.75">
      <c r="A245" s="504"/>
      <c r="B245" s="200"/>
      <c r="C245" s="507">
        <v>3020</v>
      </c>
      <c r="D245" s="14" t="s">
        <v>401</v>
      </c>
      <c r="E245" s="21">
        <f t="shared" si="45"/>
        <v>2050</v>
      </c>
      <c r="F245" s="21">
        <f t="shared" si="46"/>
        <v>2050</v>
      </c>
      <c r="G245" s="21">
        <f t="shared" si="47"/>
        <v>0</v>
      </c>
      <c r="H245" s="263"/>
      <c r="I245" s="263"/>
      <c r="J245" s="263"/>
      <c r="K245" s="263">
        <v>2050</v>
      </c>
      <c r="L245" s="263"/>
      <c r="M245" s="263"/>
      <c r="N245" s="263"/>
      <c r="O245" s="263"/>
    </row>
    <row r="246" spans="1:15" ht="12.75">
      <c r="A246" s="504"/>
      <c r="B246" s="200"/>
      <c r="C246" s="507">
        <v>4010</v>
      </c>
      <c r="D246" s="14" t="s">
        <v>395</v>
      </c>
      <c r="E246" s="21">
        <f t="shared" si="45"/>
        <v>275997</v>
      </c>
      <c r="F246" s="21">
        <f t="shared" si="46"/>
        <v>275997</v>
      </c>
      <c r="G246" s="21">
        <f t="shared" si="47"/>
        <v>275997</v>
      </c>
      <c r="H246" s="263">
        <v>275997</v>
      </c>
      <c r="I246" s="263"/>
      <c r="J246" s="263"/>
      <c r="K246" s="263"/>
      <c r="L246" s="263"/>
      <c r="M246" s="263"/>
      <c r="N246" s="263"/>
      <c r="O246" s="263"/>
    </row>
    <row r="247" spans="1:15" ht="12.75">
      <c r="A247" s="504"/>
      <c r="B247" s="200"/>
      <c r="C247" s="507">
        <v>4040</v>
      </c>
      <c r="D247" s="14" t="s">
        <v>399</v>
      </c>
      <c r="E247" s="21">
        <f t="shared" si="45"/>
        <v>21000</v>
      </c>
      <c r="F247" s="21">
        <f t="shared" si="46"/>
        <v>21000</v>
      </c>
      <c r="G247" s="21">
        <f t="shared" si="47"/>
        <v>21000</v>
      </c>
      <c r="H247" s="263">
        <v>21000</v>
      </c>
      <c r="I247" s="263"/>
      <c r="J247" s="263"/>
      <c r="K247" s="263"/>
      <c r="L247" s="263"/>
      <c r="M247" s="263"/>
      <c r="N247" s="263"/>
      <c r="O247" s="263"/>
    </row>
    <row r="248" spans="1:15" ht="12.75">
      <c r="A248" s="504"/>
      <c r="B248" s="200"/>
      <c r="C248" s="507">
        <v>4110</v>
      </c>
      <c r="D248" s="14" t="s">
        <v>396</v>
      </c>
      <c r="E248" s="21">
        <f t="shared" si="45"/>
        <v>45114</v>
      </c>
      <c r="F248" s="21">
        <f t="shared" si="46"/>
        <v>45114</v>
      </c>
      <c r="G248" s="21">
        <f t="shared" si="47"/>
        <v>45114</v>
      </c>
      <c r="H248" s="263">
        <v>45114</v>
      </c>
      <c r="I248" s="263"/>
      <c r="J248" s="263"/>
      <c r="K248" s="263"/>
      <c r="L248" s="263"/>
      <c r="M248" s="263"/>
      <c r="N248" s="263"/>
      <c r="O248" s="263"/>
    </row>
    <row r="249" spans="1:15" ht="12.75">
      <c r="A249" s="504"/>
      <c r="B249" s="200"/>
      <c r="C249" s="507">
        <v>4120</v>
      </c>
      <c r="D249" s="14" t="s">
        <v>397</v>
      </c>
      <c r="E249" s="21">
        <f t="shared" si="45"/>
        <v>7276</v>
      </c>
      <c r="F249" s="21">
        <f t="shared" si="46"/>
        <v>7276</v>
      </c>
      <c r="G249" s="21">
        <f t="shared" si="47"/>
        <v>7276</v>
      </c>
      <c r="H249" s="263">
        <v>7276</v>
      </c>
      <c r="I249" s="263"/>
      <c r="J249" s="263"/>
      <c r="K249" s="263"/>
      <c r="L249" s="263"/>
      <c r="M249" s="263"/>
      <c r="N249" s="263"/>
      <c r="O249" s="263"/>
    </row>
    <row r="250" spans="1:15" ht="12.75">
      <c r="A250" s="504"/>
      <c r="B250" s="200"/>
      <c r="C250" s="507">
        <v>4170</v>
      </c>
      <c r="D250" s="14" t="s">
        <v>402</v>
      </c>
      <c r="E250" s="21">
        <f t="shared" si="45"/>
        <v>18040</v>
      </c>
      <c r="F250" s="21">
        <f t="shared" si="46"/>
        <v>18040</v>
      </c>
      <c r="G250" s="21">
        <f t="shared" si="47"/>
        <v>18040</v>
      </c>
      <c r="H250" s="263">
        <v>18040</v>
      </c>
      <c r="I250" s="263"/>
      <c r="J250" s="263"/>
      <c r="K250" s="263"/>
      <c r="L250" s="263"/>
      <c r="M250" s="263"/>
      <c r="N250" s="263"/>
      <c r="O250" s="263"/>
    </row>
    <row r="251" spans="1:15" ht="12.75">
      <c r="A251" s="504"/>
      <c r="B251" s="200"/>
      <c r="C251" s="507">
        <v>4210</v>
      </c>
      <c r="D251" s="14" t="s">
        <v>308</v>
      </c>
      <c r="E251" s="21">
        <f t="shared" si="45"/>
        <v>15593</v>
      </c>
      <c r="F251" s="21">
        <f t="shared" si="46"/>
        <v>15593</v>
      </c>
      <c r="G251" s="21">
        <f t="shared" si="47"/>
        <v>15593</v>
      </c>
      <c r="H251" s="263"/>
      <c r="I251" s="263">
        <v>15593</v>
      </c>
      <c r="J251" s="263"/>
      <c r="K251" s="263"/>
      <c r="L251" s="263"/>
      <c r="M251" s="263"/>
      <c r="N251" s="263"/>
      <c r="O251" s="263"/>
    </row>
    <row r="252" spans="1:15" ht="12.75">
      <c r="A252" s="504"/>
      <c r="B252" s="200"/>
      <c r="C252" s="507">
        <v>4260</v>
      </c>
      <c r="D252" s="14" t="s">
        <v>408</v>
      </c>
      <c r="E252" s="21">
        <f t="shared" si="45"/>
        <v>7818</v>
      </c>
      <c r="F252" s="21">
        <f t="shared" si="46"/>
        <v>7818</v>
      </c>
      <c r="G252" s="21">
        <f t="shared" si="47"/>
        <v>7818</v>
      </c>
      <c r="H252" s="263"/>
      <c r="I252" s="263">
        <v>7818</v>
      </c>
      <c r="J252" s="263"/>
      <c r="K252" s="263"/>
      <c r="L252" s="263"/>
      <c r="M252" s="263"/>
      <c r="N252" s="263"/>
      <c r="O252" s="263"/>
    </row>
    <row r="253" spans="1:15" ht="12.75">
      <c r="A253" s="504"/>
      <c r="B253" s="200"/>
      <c r="C253" s="507">
        <v>4270</v>
      </c>
      <c r="D253" s="14" t="s">
        <v>299</v>
      </c>
      <c r="E253" s="21">
        <f t="shared" si="45"/>
        <v>557</v>
      </c>
      <c r="F253" s="21">
        <f t="shared" si="46"/>
        <v>557</v>
      </c>
      <c r="G253" s="21">
        <f t="shared" si="47"/>
        <v>557</v>
      </c>
      <c r="H253" s="263"/>
      <c r="I253" s="263">
        <v>557</v>
      </c>
      <c r="J253" s="263"/>
      <c r="K253" s="263"/>
      <c r="L253" s="263"/>
      <c r="M253" s="263"/>
      <c r="N253" s="263"/>
      <c r="O253" s="263"/>
    </row>
    <row r="254" spans="1:15" ht="12.75">
      <c r="A254" s="504"/>
      <c r="B254" s="200"/>
      <c r="C254" s="507">
        <v>4280</v>
      </c>
      <c r="D254" s="14" t="s">
        <v>414</v>
      </c>
      <c r="E254" s="21">
        <f aca="true" t="shared" si="51" ref="E254:E303">SUM(F254+N254)</f>
        <v>113</v>
      </c>
      <c r="F254" s="21">
        <f aca="true" t="shared" si="52" ref="F254:F303">SUM(J254:M254)+G254</f>
        <v>113</v>
      </c>
      <c r="G254" s="21">
        <f aca="true" t="shared" si="53" ref="G254:G303">SUM(H254:I254)</f>
        <v>113</v>
      </c>
      <c r="H254" s="263"/>
      <c r="I254" s="263">
        <v>113</v>
      </c>
      <c r="J254" s="263"/>
      <c r="K254" s="263"/>
      <c r="L254" s="263"/>
      <c r="M254" s="263"/>
      <c r="N254" s="263"/>
      <c r="O254" s="263"/>
    </row>
    <row r="255" spans="1:15" ht="12.75">
      <c r="A255" s="504"/>
      <c r="B255" s="200"/>
      <c r="C255" s="507">
        <v>4300</v>
      </c>
      <c r="D255" s="14" t="s">
        <v>318</v>
      </c>
      <c r="E255" s="21">
        <f t="shared" si="51"/>
        <v>4092</v>
      </c>
      <c r="F255" s="21">
        <f t="shared" si="52"/>
        <v>4092</v>
      </c>
      <c r="G255" s="21">
        <f t="shared" si="53"/>
        <v>4092</v>
      </c>
      <c r="H255" s="263"/>
      <c r="I255" s="263">
        <v>4092</v>
      </c>
      <c r="J255" s="263"/>
      <c r="K255" s="263"/>
      <c r="L255" s="263"/>
      <c r="M255" s="263"/>
      <c r="N255" s="263"/>
      <c r="O255" s="263"/>
    </row>
    <row r="256" spans="1:15" ht="22.5">
      <c r="A256" s="504"/>
      <c r="B256" s="200"/>
      <c r="C256" s="516">
        <v>4360</v>
      </c>
      <c r="D256" s="14" t="s">
        <v>431</v>
      </c>
      <c r="E256" s="21">
        <f t="shared" si="51"/>
        <v>1944</v>
      </c>
      <c r="F256" s="21">
        <f t="shared" si="52"/>
        <v>1944</v>
      </c>
      <c r="G256" s="21">
        <f t="shared" si="53"/>
        <v>1944</v>
      </c>
      <c r="H256" s="263"/>
      <c r="I256" s="263">
        <v>1944</v>
      </c>
      <c r="J256" s="263"/>
      <c r="K256" s="263"/>
      <c r="L256" s="263"/>
      <c r="M256" s="263"/>
      <c r="N256" s="263"/>
      <c r="O256" s="263"/>
    </row>
    <row r="257" spans="1:15" ht="22.5">
      <c r="A257" s="504"/>
      <c r="B257" s="200"/>
      <c r="C257" s="507">
        <v>4370</v>
      </c>
      <c r="D257" s="14" t="s">
        <v>429</v>
      </c>
      <c r="E257" s="21">
        <f t="shared" si="51"/>
        <v>1318</v>
      </c>
      <c r="F257" s="21">
        <f t="shared" si="52"/>
        <v>1318</v>
      </c>
      <c r="G257" s="21">
        <f t="shared" si="53"/>
        <v>1318</v>
      </c>
      <c r="H257" s="263"/>
      <c r="I257" s="263">
        <v>1318</v>
      </c>
      <c r="J257" s="263"/>
      <c r="K257" s="263"/>
      <c r="L257" s="263"/>
      <c r="M257" s="263"/>
      <c r="N257" s="263"/>
      <c r="O257" s="263"/>
    </row>
    <row r="258" spans="1:15" ht="12.75">
      <c r="A258" s="504"/>
      <c r="B258" s="200"/>
      <c r="C258" s="507">
        <v>4410</v>
      </c>
      <c r="D258" s="14" t="s">
        <v>404</v>
      </c>
      <c r="E258" s="21">
        <f t="shared" si="51"/>
        <v>512</v>
      </c>
      <c r="F258" s="21">
        <f t="shared" si="52"/>
        <v>512</v>
      </c>
      <c r="G258" s="21">
        <f t="shared" si="53"/>
        <v>512</v>
      </c>
      <c r="H258" s="263"/>
      <c r="I258" s="263">
        <v>512</v>
      </c>
      <c r="J258" s="263"/>
      <c r="K258" s="263"/>
      <c r="L258" s="263"/>
      <c r="M258" s="263"/>
      <c r="N258" s="263"/>
      <c r="O258" s="263"/>
    </row>
    <row r="259" spans="1:15" ht="12.75">
      <c r="A259" s="504"/>
      <c r="B259" s="200"/>
      <c r="C259" s="507">
        <v>4430</v>
      </c>
      <c r="D259" s="14" t="s">
        <v>398</v>
      </c>
      <c r="E259" s="21">
        <f t="shared" si="51"/>
        <v>450</v>
      </c>
      <c r="F259" s="21">
        <f t="shared" si="52"/>
        <v>450</v>
      </c>
      <c r="G259" s="21">
        <f t="shared" si="53"/>
        <v>450</v>
      </c>
      <c r="H259" s="263"/>
      <c r="I259" s="263">
        <v>450</v>
      </c>
      <c r="J259" s="263"/>
      <c r="K259" s="263"/>
      <c r="L259" s="263"/>
      <c r="M259" s="263"/>
      <c r="N259" s="263"/>
      <c r="O259" s="263"/>
    </row>
    <row r="260" spans="1:15" ht="12.75">
      <c r="A260" s="504"/>
      <c r="B260" s="200"/>
      <c r="C260" s="507">
        <v>4440</v>
      </c>
      <c r="D260" s="14" t="s">
        <v>416</v>
      </c>
      <c r="E260" s="21">
        <f t="shared" si="51"/>
        <v>9997</v>
      </c>
      <c r="F260" s="21">
        <f t="shared" si="52"/>
        <v>9997</v>
      </c>
      <c r="G260" s="21">
        <f t="shared" si="53"/>
        <v>9997</v>
      </c>
      <c r="H260" s="263"/>
      <c r="I260" s="263">
        <v>9997</v>
      </c>
      <c r="J260" s="263"/>
      <c r="K260" s="263"/>
      <c r="L260" s="263"/>
      <c r="M260" s="263"/>
      <c r="N260" s="263"/>
      <c r="O260" s="263"/>
    </row>
    <row r="261" spans="1:15" ht="22.5">
      <c r="A261" s="504"/>
      <c r="B261" s="200"/>
      <c r="C261" s="507">
        <v>4700</v>
      </c>
      <c r="D261" s="14" t="s">
        <v>319</v>
      </c>
      <c r="E261" s="21">
        <f t="shared" si="51"/>
        <v>2558</v>
      </c>
      <c r="F261" s="21">
        <f t="shared" si="52"/>
        <v>2558</v>
      </c>
      <c r="G261" s="21">
        <f t="shared" si="53"/>
        <v>2558</v>
      </c>
      <c r="H261" s="263"/>
      <c r="I261" s="263">
        <v>2558</v>
      </c>
      <c r="J261" s="263"/>
      <c r="K261" s="263"/>
      <c r="L261" s="263"/>
      <c r="M261" s="263"/>
      <c r="N261" s="263"/>
      <c r="O261" s="263"/>
    </row>
    <row r="262" spans="1:15" ht="12.75">
      <c r="A262" s="509"/>
      <c r="B262" s="382">
        <v>80120</v>
      </c>
      <c r="C262" s="508"/>
      <c r="D262" s="387" t="s">
        <v>32</v>
      </c>
      <c r="E262" s="26">
        <f t="shared" si="51"/>
        <v>1933000</v>
      </c>
      <c r="F262" s="26">
        <f t="shared" si="52"/>
        <v>1933000</v>
      </c>
      <c r="G262" s="26">
        <f t="shared" si="53"/>
        <v>1919000</v>
      </c>
      <c r="H262" s="29">
        <f aca="true" t="shared" si="54" ref="H262:O262">SUM(H263:H277)</f>
        <v>1646000</v>
      </c>
      <c r="I262" s="29">
        <f t="shared" si="54"/>
        <v>273000</v>
      </c>
      <c r="J262" s="29">
        <f t="shared" si="54"/>
        <v>0</v>
      </c>
      <c r="K262" s="29">
        <f t="shared" si="54"/>
        <v>14000</v>
      </c>
      <c r="L262" s="29">
        <f t="shared" si="54"/>
        <v>0</v>
      </c>
      <c r="M262" s="29">
        <f t="shared" si="54"/>
        <v>0</v>
      </c>
      <c r="N262" s="29">
        <f t="shared" si="54"/>
        <v>0</v>
      </c>
      <c r="O262" s="29">
        <f t="shared" si="54"/>
        <v>0</v>
      </c>
    </row>
    <row r="263" spans="1:15" ht="12.75">
      <c r="A263" s="504"/>
      <c r="B263" s="200"/>
      <c r="C263" s="507">
        <v>3020</v>
      </c>
      <c r="D263" s="14" t="s">
        <v>401</v>
      </c>
      <c r="E263" s="21">
        <f t="shared" si="51"/>
        <v>2000</v>
      </c>
      <c r="F263" s="21">
        <f t="shared" si="52"/>
        <v>2000</v>
      </c>
      <c r="G263" s="21">
        <f t="shared" si="53"/>
        <v>0</v>
      </c>
      <c r="H263" s="263"/>
      <c r="I263" s="263"/>
      <c r="J263" s="263"/>
      <c r="K263" s="263">
        <v>2000</v>
      </c>
      <c r="L263" s="263"/>
      <c r="M263" s="263"/>
      <c r="N263" s="263"/>
      <c r="O263" s="263"/>
    </row>
    <row r="264" spans="1:15" ht="12.75">
      <c r="A264" s="504"/>
      <c r="B264" s="200"/>
      <c r="C264" s="507">
        <v>3240</v>
      </c>
      <c r="D264" s="14" t="s">
        <v>33</v>
      </c>
      <c r="E264" s="21">
        <f t="shared" si="51"/>
        <v>12000</v>
      </c>
      <c r="F264" s="21">
        <f t="shared" si="52"/>
        <v>12000</v>
      </c>
      <c r="G264" s="21">
        <f t="shared" si="53"/>
        <v>0</v>
      </c>
      <c r="H264" s="263"/>
      <c r="I264" s="263"/>
      <c r="J264" s="263"/>
      <c r="K264" s="263">
        <v>12000</v>
      </c>
      <c r="L264" s="263"/>
      <c r="M264" s="263"/>
      <c r="N264" s="263"/>
      <c r="O264" s="263"/>
    </row>
    <row r="265" spans="1:15" ht="12.75">
      <c r="A265" s="504"/>
      <c r="B265" s="200"/>
      <c r="C265" s="507">
        <v>4010</v>
      </c>
      <c r="D265" s="14" t="s">
        <v>395</v>
      </c>
      <c r="E265" s="21">
        <f t="shared" si="51"/>
        <v>1305700</v>
      </c>
      <c r="F265" s="21">
        <f t="shared" si="52"/>
        <v>1305700</v>
      </c>
      <c r="G265" s="21">
        <f t="shared" si="53"/>
        <v>1305700</v>
      </c>
      <c r="H265" s="263">
        <f>1355700-50000</f>
        <v>1305700</v>
      </c>
      <c r="I265" s="263"/>
      <c r="J265" s="263"/>
      <c r="K265" s="263"/>
      <c r="L265" s="263"/>
      <c r="M265" s="263"/>
      <c r="N265" s="263"/>
      <c r="O265" s="263"/>
    </row>
    <row r="266" spans="1:15" ht="12.75">
      <c r="A266" s="504"/>
      <c r="B266" s="200"/>
      <c r="C266" s="507">
        <v>4040</v>
      </c>
      <c r="D266" s="14" t="s">
        <v>399</v>
      </c>
      <c r="E266" s="21">
        <f t="shared" si="51"/>
        <v>104900</v>
      </c>
      <c r="F266" s="21">
        <f t="shared" si="52"/>
        <v>104900</v>
      </c>
      <c r="G266" s="21">
        <f t="shared" si="53"/>
        <v>104900</v>
      </c>
      <c r="H266" s="263">
        <v>104900</v>
      </c>
      <c r="I266" s="263"/>
      <c r="J266" s="263"/>
      <c r="K266" s="263"/>
      <c r="L266" s="263"/>
      <c r="M266" s="263"/>
      <c r="N266" s="263"/>
      <c r="O266" s="263"/>
    </row>
    <row r="267" spans="1:15" ht="12.75">
      <c r="A267" s="504"/>
      <c r="B267" s="200"/>
      <c r="C267" s="507">
        <v>4110</v>
      </c>
      <c r="D267" s="14" t="s">
        <v>396</v>
      </c>
      <c r="E267" s="21">
        <f t="shared" si="51"/>
        <v>200900</v>
      </c>
      <c r="F267" s="21">
        <f t="shared" si="52"/>
        <v>200900</v>
      </c>
      <c r="G267" s="21">
        <f t="shared" si="53"/>
        <v>200900</v>
      </c>
      <c r="H267" s="263">
        <v>200900</v>
      </c>
      <c r="I267" s="263"/>
      <c r="J267" s="263"/>
      <c r="K267" s="263"/>
      <c r="L267" s="263" t="s">
        <v>60</v>
      </c>
      <c r="M267" s="263"/>
      <c r="N267" s="263"/>
      <c r="O267" s="263"/>
    </row>
    <row r="268" spans="1:15" ht="12.75">
      <c r="A268" s="504"/>
      <c r="B268" s="200"/>
      <c r="C268" s="507">
        <v>4120</v>
      </c>
      <c r="D268" s="14" t="s">
        <v>397</v>
      </c>
      <c r="E268" s="21">
        <f t="shared" si="51"/>
        <v>34500</v>
      </c>
      <c r="F268" s="21">
        <f t="shared" si="52"/>
        <v>34500</v>
      </c>
      <c r="G268" s="21">
        <f t="shared" si="53"/>
        <v>34500</v>
      </c>
      <c r="H268" s="263">
        <f>35500-1000</f>
        <v>34500</v>
      </c>
      <c r="I268" s="263"/>
      <c r="J268" s="263"/>
      <c r="K268" s="263"/>
      <c r="L268" s="263"/>
      <c r="M268" s="263"/>
      <c r="N268" s="263"/>
      <c r="O268" s="263"/>
    </row>
    <row r="269" spans="1:15" ht="12.75">
      <c r="A269" s="504"/>
      <c r="B269" s="200"/>
      <c r="C269" s="507">
        <v>4210</v>
      </c>
      <c r="D269" s="14" t="s">
        <v>308</v>
      </c>
      <c r="E269" s="21">
        <f t="shared" si="51"/>
        <v>63500</v>
      </c>
      <c r="F269" s="21">
        <f t="shared" si="52"/>
        <v>63500</v>
      </c>
      <c r="G269" s="21">
        <f t="shared" si="53"/>
        <v>63500</v>
      </c>
      <c r="H269" s="263"/>
      <c r="I269" s="263">
        <v>63500</v>
      </c>
      <c r="J269" s="263"/>
      <c r="K269" s="263"/>
      <c r="L269" s="263"/>
      <c r="M269" s="263"/>
      <c r="N269" s="263"/>
      <c r="O269" s="263"/>
    </row>
    <row r="270" spans="1:15" ht="16.5" customHeight="1">
      <c r="A270" s="504"/>
      <c r="B270" s="200"/>
      <c r="C270" s="605">
        <v>4240</v>
      </c>
      <c r="D270" s="606" t="s">
        <v>28</v>
      </c>
      <c r="E270" s="21">
        <f t="shared" si="51"/>
        <v>5000</v>
      </c>
      <c r="F270" s="21">
        <f t="shared" si="52"/>
        <v>5000</v>
      </c>
      <c r="G270" s="21">
        <f t="shared" si="53"/>
        <v>5000</v>
      </c>
      <c r="H270" s="263"/>
      <c r="I270" s="263">
        <v>5000</v>
      </c>
      <c r="J270" s="263"/>
      <c r="K270" s="263"/>
      <c r="L270" s="263"/>
      <c r="M270" s="263"/>
      <c r="N270" s="263"/>
      <c r="O270" s="263"/>
    </row>
    <row r="271" spans="1:15" ht="12.75">
      <c r="A271" s="504"/>
      <c r="B271" s="200"/>
      <c r="C271" s="507">
        <v>4260</v>
      </c>
      <c r="D271" s="14" t="s">
        <v>408</v>
      </c>
      <c r="E271" s="21">
        <f t="shared" si="51"/>
        <v>65000</v>
      </c>
      <c r="F271" s="21">
        <f t="shared" si="52"/>
        <v>65000</v>
      </c>
      <c r="G271" s="21">
        <f t="shared" si="53"/>
        <v>65000</v>
      </c>
      <c r="H271" s="263"/>
      <c r="I271" s="263">
        <v>65000</v>
      </c>
      <c r="J271" s="263"/>
      <c r="K271" s="263"/>
      <c r="L271" s="263"/>
      <c r="M271" s="263"/>
      <c r="N271" s="263"/>
      <c r="O271" s="263"/>
    </row>
    <row r="272" spans="1:15" ht="12.75">
      <c r="A272" s="504"/>
      <c r="B272" s="200"/>
      <c r="C272" s="605">
        <v>4270</v>
      </c>
      <c r="D272" s="606" t="s">
        <v>299</v>
      </c>
      <c r="E272" s="21">
        <f t="shared" si="51"/>
        <v>10000</v>
      </c>
      <c r="F272" s="21">
        <f t="shared" si="52"/>
        <v>10000</v>
      </c>
      <c r="G272" s="21">
        <f t="shared" si="53"/>
        <v>10000</v>
      </c>
      <c r="H272" s="263"/>
      <c r="I272" s="263">
        <v>10000</v>
      </c>
      <c r="J272" s="263"/>
      <c r="K272" s="263"/>
      <c r="L272" s="263"/>
      <c r="M272" s="263"/>
      <c r="N272" s="263"/>
      <c r="O272" s="263"/>
    </row>
    <row r="273" spans="1:15" ht="12.75">
      <c r="A273" s="504"/>
      <c r="B273" s="200"/>
      <c r="C273" s="605">
        <v>4280</v>
      </c>
      <c r="D273" s="606" t="s">
        <v>414</v>
      </c>
      <c r="E273" s="21">
        <f t="shared" si="51"/>
        <v>1000</v>
      </c>
      <c r="F273" s="21">
        <f t="shared" si="52"/>
        <v>1000</v>
      </c>
      <c r="G273" s="21">
        <f t="shared" si="53"/>
        <v>1000</v>
      </c>
      <c r="H273" s="263"/>
      <c r="I273" s="263">
        <v>1000</v>
      </c>
      <c r="J273" s="263"/>
      <c r="K273" s="263"/>
      <c r="L273" s="263"/>
      <c r="M273" s="263"/>
      <c r="N273" s="263"/>
      <c r="O273" s="263"/>
    </row>
    <row r="274" spans="1:15" ht="12.75">
      <c r="A274" s="504"/>
      <c r="B274" s="200"/>
      <c r="C274" s="507">
        <v>4300</v>
      </c>
      <c r="D274" s="14" t="s">
        <v>318</v>
      </c>
      <c r="E274" s="21">
        <f t="shared" si="51"/>
        <v>20000</v>
      </c>
      <c r="F274" s="21">
        <f t="shared" si="52"/>
        <v>20000</v>
      </c>
      <c r="G274" s="21">
        <f t="shared" si="53"/>
        <v>20000</v>
      </c>
      <c r="H274" s="263"/>
      <c r="I274" s="263">
        <f>25000-5000</f>
        <v>20000</v>
      </c>
      <c r="J274" s="263"/>
      <c r="K274" s="263"/>
      <c r="L274" s="263"/>
      <c r="M274" s="263"/>
      <c r="N274" s="263"/>
      <c r="O274" s="263"/>
    </row>
    <row r="275" spans="1:15" ht="22.5">
      <c r="A275" s="504"/>
      <c r="B275" s="200"/>
      <c r="C275" s="605">
        <v>4370</v>
      </c>
      <c r="D275" s="606" t="s">
        <v>429</v>
      </c>
      <c r="E275" s="21">
        <f t="shared" si="51"/>
        <v>1000</v>
      </c>
      <c r="F275" s="21">
        <f t="shared" si="52"/>
        <v>1000</v>
      </c>
      <c r="G275" s="21">
        <f t="shared" si="53"/>
        <v>1000</v>
      </c>
      <c r="H275" s="263"/>
      <c r="I275" s="263">
        <v>1000</v>
      </c>
      <c r="J275" s="263"/>
      <c r="K275" s="263"/>
      <c r="L275" s="263"/>
      <c r="M275" s="263"/>
      <c r="N275" s="263"/>
      <c r="O275" s="263"/>
    </row>
    <row r="276" spans="1:15" ht="12.75">
      <c r="A276" s="504"/>
      <c r="B276" s="200"/>
      <c r="C276" s="605">
        <v>4410</v>
      </c>
      <c r="D276" s="606" t="s">
        <v>404</v>
      </c>
      <c r="E276" s="21">
        <f t="shared" si="51"/>
        <v>1500</v>
      </c>
      <c r="F276" s="21">
        <f t="shared" si="52"/>
        <v>1500</v>
      </c>
      <c r="G276" s="21">
        <f t="shared" si="53"/>
        <v>1500</v>
      </c>
      <c r="H276" s="263"/>
      <c r="I276" s="263">
        <v>1500</v>
      </c>
      <c r="J276" s="263"/>
      <c r="K276" s="263"/>
      <c r="L276" s="263"/>
      <c r="M276" s="263"/>
      <c r="N276" s="263"/>
      <c r="O276" s="263"/>
    </row>
    <row r="277" spans="1:15" ht="12.75">
      <c r="A277" s="504"/>
      <c r="B277" s="200"/>
      <c r="C277" s="507">
        <v>4440</v>
      </c>
      <c r="D277" s="14" t="s">
        <v>416</v>
      </c>
      <c r="E277" s="21">
        <f t="shared" si="51"/>
        <v>106000</v>
      </c>
      <c r="F277" s="21">
        <f t="shared" si="52"/>
        <v>106000</v>
      </c>
      <c r="G277" s="21">
        <f t="shared" si="53"/>
        <v>106000</v>
      </c>
      <c r="H277" s="263"/>
      <c r="I277" s="263">
        <v>106000</v>
      </c>
      <c r="J277" s="263"/>
      <c r="K277" s="263"/>
      <c r="L277" s="263"/>
      <c r="M277" s="263"/>
      <c r="N277" s="263"/>
      <c r="O277" s="263"/>
    </row>
    <row r="278" spans="1:15" ht="12.75">
      <c r="A278" s="504"/>
      <c r="B278" s="505">
        <v>80146</v>
      </c>
      <c r="C278" s="508"/>
      <c r="D278" s="513" t="s">
        <v>176</v>
      </c>
      <c r="E278" s="26">
        <f t="shared" si="51"/>
        <v>135275</v>
      </c>
      <c r="F278" s="26">
        <f t="shared" si="52"/>
        <v>135275</v>
      </c>
      <c r="G278" s="26">
        <f t="shared" si="53"/>
        <v>135275</v>
      </c>
      <c r="H278" s="25">
        <f aca="true" t="shared" si="55" ref="H278:O278">SUM(H279:H282)</f>
        <v>10275</v>
      </c>
      <c r="I278" s="25">
        <f t="shared" si="55"/>
        <v>125000</v>
      </c>
      <c r="J278" s="25">
        <f t="shared" si="55"/>
        <v>0</v>
      </c>
      <c r="K278" s="25">
        <f t="shared" si="55"/>
        <v>0</v>
      </c>
      <c r="L278" s="25">
        <f t="shared" si="55"/>
        <v>0</v>
      </c>
      <c r="M278" s="25">
        <f t="shared" si="55"/>
        <v>0</v>
      </c>
      <c r="N278" s="25">
        <f t="shared" si="55"/>
        <v>0</v>
      </c>
      <c r="O278" s="25">
        <f t="shared" si="55"/>
        <v>0</v>
      </c>
    </row>
    <row r="279" spans="1:15" ht="12.75">
      <c r="A279" s="504"/>
      <c r="B279" s="505"/>
      <c r="C279" s="507">
        <v>4010</v>
      </c>
      <c r="D279" s="13" t="s">
        <v>395</v>
      </c>
      <c r="E279" s="21">
        <f t="shared" si="51"/>
        <v>8690</v>
      </c>
      <c r="F279" s="21">
        <f t="shared" si="52"/>
        <v>8690</v>
      </c>
      <c r="G279" s="21">
        <f t="shared" si="53"/>
        <v>8690</v>
      </c>
      <c r="H279" s="263">
        <v>8690</v>
      </c>
      <c r="I279" s="263"/>
      <c r="J279" s="263"/>
      <c r="K279" s="263"/>
      <c r="L279" s="263"/>
      <c r="M279" s="263"/>
      <c r="N279" s="263"/>
      <c r="O279" s="263"/>
    </row>
    <row r="280" spans="1:15" ht="12.75">
      <c r="A280" s="504"/>
      <c r="B280" s="505"/>
      <c r="C280" s="507">
        <v>4110</v>
      </c>
      <c r="D280" s="14" t="s">
        <v>396</v>
      </c>
      <c r="E280" s="21">
        <f t="shared" si="51"/>
        <v>1367</v>
      </c>
      <c r="F280" s="21">
        <f t="shared" si="52"/>
        <v>1367</v>
      </c>
      <c r="G280" s="21">
        <f t="shared" si="53"/>
        <v>1367</v>
      </c>
      <c r="H280" s="263">
        <v>1367</v>
      </c>
      <c r="I280" s="263"/>
      <c r="J280" s="263"/>
      <c r="K280" s="263"/>
      <c r="L280" s="263"/>
      <c r="M280" s="263"/>
      <c r="N280" s="263"/>
      <c r="O280" s="263"/>
    </row>
    <row r="281" spans="1:15" ht="12.75">
      <c r="A281" s="504"/>
      <c r="B281" s="505"/>
      <c r="C281" s="507">
        <v>4120</v>
      </c>
      <c r="D281" s="14" t="s">
        <v>397</v>
      </c>
      <c r="E281" s="21">
        <f t="shared" si="51"/>
        <v>218</v>
      </c>
      <c r="F281" s="21">
        <f t="shared" si="52"/>
        <v>218</v>
      </c>
      <c r="G281" s="21">
        <f t="shared" si="53"/>
        <v>218</v>
      </c>
      <c r="H281" s="263">
        <v>218</v>
      </c>
      <c r="I281" s="263"/>
      <c r="J281" s="263"/>
      <c r="K281" s="263"/>
      <c r="L281" s="263"/>
      <c r="M281" s="263"/>
      <c r="N281" s="263"/>
      <c r="O281" s="263"/>
    </row>
    <row r="282" spans="1:15" ht="22.5">
      <c r="A282" s="504"/>
      <c r="B282" s="506"/>
      <c r="C282" s="507">
        <v>4700</v>
      </c>
      <c r="D282" s="14" t="s">
        <v>319</v>
      </c>
      <c r="E282" s="21">
        <f t="shared" si="51"/>
        <v>125000</v>
      </c>
      <c r="F282" s="21">
        <f t="shared" si="52"/>
        <v>125000</v>
      </c>
      <c r="G282" s="21">
        <f t="shared" si="53"/>
        <v>125000</v>
      </c>
      <c r="H282" s="263"/>
      <c r="I282" s="263">
        <f>145000-20000</f>
        <v>125000</v>
      </c>
      <c r="J282" s="263"/>
      <c r="K282" s="263"/>
      <c r="L282" s="263"/>
      <c r="M282" s="263"/>
      <c r="N282" s="263"/>
      <c r="O282" s="263"/>
    </row>
    <row r="283" spans="1:15" ht="12.75">
      <c r="A283" s="509"/>
      <c r="B283" s="382">
        <v>80148</v>
      </c>
      <c r="C283" s="517"/>
      <c r="D283" s="513" t="s">
        <v>388</v>
      </c>
      <c r="E283" s="26">
        <f t="shared" si="51"/>
        <v>2158264</v>
      </c>
      <c r="F283" s="26">
        <f t="shared" si="52"/>
        <v>2158264</v>
      </c>
      <c r="G283" s="26">
        <f t="shared" si="53"/>
        <v>2141429</v>
      </c>
      <c r="H283" s="25">
        <f aca="true" t="shared" si="56" ref="H283:O283">SUM(H284:H297)</f>
        <v>702198</v>
      </c>
      <c r="I283" s="25">
        <f t="shared" si="56"/>
        <v>1439231</v>
      </c>
      <c r="J283" s="25">
        <f t="shared" si="56"/>
        <v>0</v>
      </c>
      <c r="K283" s="25">
        <f t="shared" si="56"/>
        <v>16835</v>
      </c>
      <c r="L283" s="25">
        <f t="shared" si="56"/>
        <v>0</v>
      </c>
      <c r="M283" s="25">
        <f t="shared" si="56"/>
        <v>0</v>
      </c>
      <c r="N283" s="25">
        <f t="shared" si="56"/>
        <v>0</v>
      </c>
      <c r="O283" s="25">
        <f t="shared" si="56"/>
        <v>0</v>
      </c>
    </row>
    <row r="284" spans="1:15" ht="12.75">
      <c r="A284" s="504"/>
      <c r="B284" s="200"/>
      <c r="C284" s="507">
        <v>3020</v>
      </c>
      <c r="D284" s="14" t="s">
        <v>401</v>
      </c>
      <c r="E284" s="21">
        <f t="shared" si="51"/>
        <v>16835</v>
      </c>
      <c r="F284" s="21">
        <f t="shared" si="52"/>
        <v>16835</v>
      </c>
      <c r="G284" s="21">
        <f t="shared" si="53"/>
        <v>0</v>
      </c>
      <c r="H284" s="263"/>
      <c r="I284" s="263"/>
      <c r="J284" s="263"/>
      <c r="K284" s="263">
        <v>16835</v>
      </c>
      <c r="L284" s="263"/>
      <c r="M284" s="263"/>
      <c r="N284" s="263"/>
      <c r="O284" s="263"/>
    </row>
    <row r="285" spans="1:15" ht="12.75">
      <c r="A285" s="504"/>
      <c r="B285" s="200"/>
      <c r="C285" s="507">
        <v>4010</v>
      </c>
      <c r="D285" s="14" t="s">
        <v>395</v>
      </c>
      <c r="E285" s="21">
        <f t="shared" si="51"/>
        <v>533375</v>
      </c>
      <c r="F285" s="21">
        <f t="shared" si="52"/>
        <v>533375</v>
      </c>
      <c r="G285" s="21">
        <f t="shared" si="53"/>
        <v>533375</v>
      </c>
      <c r="H285" s="263">
        <v>533375</v>
      </c>
      <c r="I285" s="263"/>
      <c r="J285" s="263"/>
      <c r="K285" s="263"/>
      <c r="L285" s="263"/>
      <c r="M285" s="263"/>
      <c r="N285" s="263"/>
      <c r="O285" s="263"/>
    </row>
    <row r="286" spans="1:15" ht="12.75">
      <c r="A286" s="504"/>
      <c r="B286" s="200"/>
      <c r="C286" s="507">
        <v>4040</v>
      </c>
      <c r="D286" s="14" t="s">
        <v>399</v>
      </c>
      <c r="E286" s="21">
        <f t="shared" si="51"/>
        <v>58392</v>
      </c>
      <c r="F286" s="21">
        <f t="shared" si="52"/>
        <v>58392</v>
      </c>
      <c r="G286" s="21">
        <f t="shared" si="53"/>
        <v>58392</v>
      </c>
      <c r="H286" s="263">
        <v>58392</v>
      </c>
      <c r="I286" s="263"/>
      <c r="J286" s="263"/>
      <c r="K286" s="263"/>
      <c r="L286" s="263"/>
      <c r="M286" s="263"/>
      <c r="N286" s="263"/>
      <c r="O286" s="263"/>
    </row>
    <row r="287" spans="1:15" ht="12.75">
      <c r="A287" s="504"/>
      <c r="B287" s="200"/>
      <c r="C287" s="507">
        <v>4110</v>
      </c>
      <c r="D287" s="14" t="s">
        <v>396</v>
      </c>
      <c r="E287" s="21">
        <f t="shared" si="51"/>
        <v>95494</v>
      </c>
      <c r="F287" s="21">
        <f t="shared" si="52"/>
        <v>95494</v>
      </c>
      <c r="G287" s="21">
        <f t="shared" si="53"/>
        <v>95494</v>
      </c>
      <c r="H287" s="263">
        <v>95494</v>
      </c>
      <c r="I287" s="263"/>
      <c r="J287" s="263"/>
      <c r="K287" s="263"/>
      <c r="L287" s="263"/>
      <c r="M287" s="263"/>
      <c r="N287" s="263"/>
      <c r="O287" s="263"/>
    </row>
    <row r="288" spans="1:15" ht="12.75">
      <c r="A288" s="504"/>
      <c r="B288" s="200"/>
      <c r="C288" s="507">
        <v>4120</v>
      </c>
      <c r="D288" s="14" t="s">
        <v>397</v>
      </c>
      <c r="E288" s="21">
        <f t="shared" si="51"/>
        <v>14937</v>
      </c>
      <c r="F288" s="21">
        <f t="shared" si="52"/>
        <v>14937</v>
      </c>
      <c r="G288" s="21">
        <f t="shared" si="53"/>
        <v>14937</v>
      </c>
      <c r="H288" s="263">
        <v>14937</v>
      </c>
      <c r="I288" s="263"/>
      <c r="J288" s="263"/>
      <c r="K288" s="263"/>
      <c r="L288" s="263"/>
      <c r="M288" s="263"/>
      <c r="N288" s="263"/>
      <c r="O288" s="263"/>
    </row>
    <row r="289" spans="1:15" ht="12.75">
      <c r="A289" s="504"/>
      <c r="B289" s="200"/>
      <c r="C289" s="507">
        <v>4210</v>
      </c>
      <c r="D289" s="14" t="s">
        <v>308</v>
      </c>
      <c r="E289" s="21">
        <f t="shared" si="51"/>
        <v>59000</v>
      </c>
      <c r="F289" s="21">
        <f t="shared" si="52"/>
        <v>59000</v>
      </c>
      <c r="G289" s="21">
        <f t="shared" si="53"/>
        <v>59000</v>
      </c>
      <c r="H289" s="263"/>
      <c r="I289" s="263">
        <v>59000</v>
      </c>
      <c r="J289" s="263"/>
      <c r="K289" s="263"/>
      <c r="L289" s="263"/>
      <c r="M289" s="263"/>
      <c r="N289" s="263"/>
      <c r="O289" s="263"/>
    </row>
    <row r="290" spans="1:15" ht="12.75">
      <c r="A290" s="504"/>
      <c r="B290" s="200"/>
      <c r="C290" s="516">
        <v>4220</v>
      </c>
      <c r="D290" s="516" t="s">
        <v>30</v>
      </c>
      <c r="E290" s="21">
        <f t="shared" si="51"/>
        <v>1124261</v>
      </c>
      <c r="F290" s="21">
        <f t="shared" si="52"/>
        <v>1124261</v>
      </c>
      <c r="G290" s="21">
        <f t="shared" si="53"/>
        <v>1124261</v>
      </c>
      <c r="H290" s="263"/>
      <c r="I290" s="263">
        <v>1124261</v>
      </c>
      <c r="J290" s="263"/>
      <c r="K290" s="263"/>
      <c r="L290" s="263"/>
      <c r="M290" s="263"/>
      <c r="N290" s="263"/>
      <c r="O290" s="263"/>
    </row>
    <row r="291" spans="1:15" ht="12.75">
      <c r="A291" s="504"/>
      <c r="B291" s="200"/>
      <c r="C291" s="507">
        <v>4260</v>
      </c>
      <c r="D291" s="14" t="s">
        <v>408</v>
      </c>
      <c r="E291" s="21">
        <f t="shared" si="51"/>
        <v>91942</v>
      </c>
      <c r="F291" s="21">
        <f t="shared" si="52"/>
        <v>91942</v>
      </c>
      <c r="G291" s="21">
        <f t="shared" si="53"/>
        <v>91942</v>
      </c>
      <c r="H291" s="263"/>
      <c r="I291" s="263">
        <v>91942</v>
      </c>
      <c r="J291" s="263"/>
      <c r="K291" s="263"/>
      <c r="L291" s="263"/>
      <c r="M291" s="263"/>
      <c r="N291" s="263"/>
      <c r="O291" s="263"/>
    </row>
    <row r="292" spans="1:15" ht="12.75">
      <c r="A292" s="504"/>
      <c r="B292" s="200"/>
      <c r="C292" s="507">
        <v>4270</v>
      </c>
      <c r="D292" s="14" t="s">
        <v>299</v>
      </c>
      <c r="E292" s="21">
        <f t="shared" si="51"/>
        <v>20000</v>
      </c>
      <c r="F292" s="21">
        <f t="shared" si="52"/>
        <v>20000</v>
      </c>
      <c r="G292" s="21">
        <f t="shared" si="53"/>
        <v>20000</v>
      </c>
      <c r="H292" s="263"/>
      <c r="I292" s="263">
        <v>20000</v>
      </c>
      <c r="J292" s="263"/>
      <c r="K292" s="263"/>
      <c r="L292" s="263"/>
      <c r="M292" s="263"/>
      <c r="N292" s="263"/>
      <c r="O292" s="263"/>
    </row>
    <row r="293" spans="1:15" ht="12.75">
      <c r="A293" s="504"/>
      <c r="B293" s="200"/>
      <c r="C293" s="507">
        <v>4280</v>
      </c>
      <c r="D293" s="14" t="s">
        <v>414</v>
      </c>
      <c r="E293" s="21">
        <f t="shared" si="51"/>
        <v>913</v>
      </c>
      <c r="F293" s="21">
        <f t="shared" si="52"/>
        <v>913</v>
      </c>
      <c r="G293" s="21">
        <f t="shared" si="53"/>
        <v>913</v>
      </c>
      <c r="H293" s="263"/>
      <c r="I293" s="263">
        <v>913</v>
      </c>
      <c r="J293" s="263"/>
      <c r="K293" s="263"/>
      <c r="L293" s="263"/>
      <c r="M293" s="263"/>
      <c r="N293" s="263"/>
      <c r="O293" s="263"/>
    </row>
    <row r="294" spans="1:15" ht="12.75">
      <c r="A294" s="504"/>
      <c r="B294" s="200"/>
      <c r="C294" s="507">
        <v>4300</v>
      </c>
      <c r="D294" s="14" t="s">
        <v>318</v>
      </c>
      <c r="E294" s="21">
        <f t="shared" si="51"/>
        <v>102591</v>
      </c>
      <c r="F294" s="21">
        <f t="shared" si="52"/>
        <v>102591</v>
      </c>
      <c r="G294" s="21">
        <f t="shared" si="53"/>
        <v>102591</v>
      </c>
      <c r="H294" s="263"/>
      <c r="I294" s="263">
        <v>102591</v>
      </c>
      <c r="J294" s="263"/>
      <c r="K294" s="263"/>
      <c r="L294" s="263"/>
      <c r="M294" s="263"/>
      <c r="N294" s="263"/>
      <c r="O294" s="263"/>
    </row>
    <row r="295" spans="1:15" ht="22.5">
      <c r="A295" s="504"/>
      <c r="B295" s="200"/>
      <c r="C295" s="507">
        <v>4370</v>
      </c>
      <c r="D295" s="14" t="s">
        <v>429</v>
      </c>
      <c r="E295" s="21">
        <f t="shared" si="51"/>
        <v>1205</v>
      </c>
      <c r="F295" s="21">
        <f t="shared" si="52"/>
        <v>1205</v>
      </c>
      <c r="G295" s="21">
        <f t="shared" si="53"/>
        <v>1205</v>
      </c>
      <c r="H295" s="263"/>
      <c r="I295" s="263">
        <v>1205</v>
      </c>
      <c r="J295" s="263"/>
      <c r="K295" s="263" t="s">
        <v>60</v>
      </c>
      <c r="L295" s="263"/>
      <c r="M295" s="263"/>
      <c r="N295" s="263"/>
      <c r="O295" s="263"/>
    </row>
    <row r="296" spans="1:15" ht="12.75">
      <c r="A296" s="504"/>
      <c r="B296" s="200"/>
      <c r="C296" s="507">
        <v>4440</v>
      </c>
      <c r="D296" s="14" t="s">
        <v>416</v>
      </c>
      <c r="E296" s="21">
        <f t="shared" si="51"/>
        <v>37199</v>
      </c>
      <c r="F296" s="21">
        <f t="shared" si="52"/>
        <v>37199</v>
      </c>
      <c r="G296" s="21">
        <f t="shared" si="53"/>
        <v>37199</v>
      </c>
      <c r="H296" s="263"/>
      <c r="I296" s="263">
        <v>37199</v>
      </c>
      <c r="J296" s="263"/>
      <c r="K296" s="263"/>
      <c r="L296" s="263"/>
      <c r="M296" s="263"/>
      <c r="N296" s="263"/>
      <c r="O296" s="263"/>
    </row>
    <row r="297" spans="1:15" ht="12.75">
      <c r="A297" s="504"/>
      <c r="B297" s="200"/>
      <c r="C297" s="507">
        <v>4530</v>
      </c>
      <c r="D297" s="14" t="s">
        <v>434</v>
      </c>
      <c r="E297" s="21">
        <f t="shared" si="51"/>
        <v>2120</v>
      </c>
      <c r="F297" s="21">
        <f t="shared" si="52"/>
        <v>2120</v>
      </c>
      <c r="G297" s="21">
        <f t="shared" si="53"/>
        <v>2120</v>
      </c>
      <c r="H297" s="263"/>
      <c r="I297" s="263">
        <v>2120</v>
      </c>
      <c r="J297" s="263"/>
      <c r="K297" s="263"/>
      <c r="L297" s="263"/>
      <c r="M297" s="263"/>
      <c r="N297" s="263"/>
      <c r="O297" s="263"/>
    </row>
    <row r="298" spans="1:15" ht="12.75">
      <c r="A298" s="504"/>
      <c r="B298" s="505">
        <v>80195</v>
      </c>
      <c r="C298" s="508"/>
      <c r="D298" s="387" t="s">
        <v>90</v>
      </c>
      <c r="E298" s="26">
        <f t="shared" si="51"/>
        <v>766352</v>
      </c>
      <c r="F298" s="26">
        <f t="shared" si="52"/>
        <v>766352</v>
      </c>
      <c r="G298" s="26">
        <f t="shared" si="53"/>
        <v>618718</v>
      </c>
      <c r="H298" s="29">
        <f>SUM(H299:H319)</f>
        <v>261402</v>
      </c>
      <c r="I298" s="29">
        <f>SUM(I300:I319)</f>
        <v>357316</v>
      </c>
      <c r="J298" s="29">
        <f>SUM(J299:J319)</f>
        <v>64110</v>
      </c>
      <c r="K298" s="29">
        <f>SUM(K299:K319)</f>
        <v>63024</v>
      </c>
      <c r="L298" s="29">
        <f>SUM(L299:L315)</f>
        <v>20500</v>
      </c>
      <c r="M298" s="29">
        <f>SUM(M301:M315)</f>
        <v>0</v>
      </c>
      <c r="N298" s="29">
        <f>SUM(N301:N315)</f>
        <v>0</v>
      </c>
      <c r="O298" s="29">
        <f>SUM(O301:O315)</f>
        <v>0</v>
      </c>
    </row>
    <row r="299" spans="1:15" ht="33.75">
      <c r="A299" s="504"/>
      <c r="B299" s="505"/>
      <c r="C299" s="507">
        <v>2910</v>
      </c>
      <c r="D299" s="519" t="s">
        <v>38</v>
      </c>
      <c r="E299" s="21">
        <f>SUM(F299+N299)</f>
        <v>20500</v>
      </c>
      <c r="F299" s="21">
        <f>SUM(J299:M299)+G299</f>
        <v>20500</v>
      </c>
      <c r="G299" s="21">
        <f>SUM(H299:I299)</f>
        <v>0</v>
      </c>
      <c r="H299" s="604"/>
      <c r="I299" s="604"/>
      <c r="J299" s="604"/>
      <c r="K299" s="604"/>
      <c r="L299" s="604">
        <v>20500</v>
      </c>
      <c r="M299" s="604"/>
      <c r="N299" s="29"/>
      <c r="O299" s="29"/>
    </row>
    <row r="300" spans="1:15" ht="12.75">
      <c r="A300" s="504"/>
      <c r="B300" s="505"/>
      <c r="C300" s="507">
        <v>3020</v>
      </c>
      <c r="D300" s="14" t="s">
        <v>401</v>
      </c>
      <c r="E300" s="21">
        <f>SUM(F300+N300)</f>
        <v>52024</v>
      </c>
      <c r="F300" s="21">
        <f>SUM(J300:M300)+G300</f>
        <v>52024</v>
      </c>
      <c r="G300" s="21">
        <f>SUM(H300:I300)</f>
        <v>0</v>
      </c>
      <c r="H300" s="29"/>
      <c r="I300" s="29"/>
      <c r="J300" s="29"/>
      <c r="K300" s="604">
        <v>52024</v>
      </c>
      <c r="L300" s="29"/>
      <c r="M300" s="29"/>
      <c r="N300" s="29"/>
      <c r="O300" s="29"/>
    </row>
    <row r="301" spans="1:15" ht="22.5">
      <c r="A301" s="504"/>
      <c r="B301" s="505"/>
      <c r="C301" s="507">
        <v>3040</v>
      </c>
      <c r="D301" s="14" t="s">
        <v>317</v>
      </c>
      <c r="E301" s="21">
        <f t="shared" si="51"/>
        <v>11000</v>
      </c>
      <c r="F301" s="21">
        <f t="shared" si="52"/>
        <v>11000</v>
      </c>
      <c r="G301" s="21">
        <f t="shared" si="53"/>
        <v>0</v>
      </c>
      <c r="H301" s="263"/>
      <c r="I301" s="263"/>
      <c r="J301" s="263"/>
      <c r="K301" s="263">
        <v>11000</v>
      </c>
      <c r="L301" s="263"/>
      <c r="M301" s="263"/>
      <c r="N301" s="263"/>
      <c r="O301" s="263"/>
    </row>
    <row r="302" spans="1:15" ht="12.75">
      <c r="A302" s="504"/>
      <c r="B302" s="505"/>
      <c r="C302" s="507">
        <v>4010</v>
      </c>
      <c r="D302" s="14" t="s">
        <v>395</v>
      </c>
      <c r="E302" s="21">
        <f>SUM(F302+N302)</f>
        <v>124300</v>
      </c>
      <c r="F302" s="21">
        <f>SUM(J302:M302)+G302</f>
        <v>124300</v>
      </c>
      <c r="G302" s="21">
        <f>SUM(H302:I302)</f>
        <v>124300</v>
      </c>
      <c r="H302" s="263">
        <v>124300</v>
      </c>
      <c r="I302" s="263"/>
      <c r="J302" s="263"/>
      <c r="K302" s="263"/>
      <c r="L302" s="263"/>
      <c r="M302" s="263"/>
      <c r="N302" s="263"/>
      <c r="O302" s="263"/>
    </row>
    <row r="303" spans="1:15" ht="12.75">
      <c r="A303" s="504"/>
      <c r="B303" s="505"/>
      <c r="C303" s="507">
        <v>4110</v>
      </c>
      <c r="D303" s="14" t="s">
        <v>396</v>
      </c>
      <c r="E303" s="21">
        <f t="shared" si="51"/>
        <v>27479.16</v>
      </c>
      <c r="F303" s="21">
        <f t="shared" si="52"/>
        <v>27479.16</v>
      </c>
      <c r="G303" s="21">
        <f t="shared" si="53"/>
        <v>27479.16</v>
      </c>
      <c r="H303" s="263">
        <f>2479.16+25000</f>
        <v>27479.16</v>
      </c>
      <c r="I303" s="263"/>
      <c r="J303" s="263"/>
      <c r="K303" s="263"/>
      <c r="L303" s="263"/>
      <c r="M303" s="263"/>
      <c r="N303" s="263"/>
      <c r="O303" s="263"/>
    </row>
    <row r="304" spans="1:15" ht="12.75">
      <c r="A304" s="504"/>
      <c r="B304" s="505"/>
      <c r="C304" s="507">
        <v>4117</v>
      </c>
      <c r="D304" s="14" t="s">
        <v>396</v>
      </c>
      <c r="E304" s="21">
        <f aca="true" t="shared" si="57" ref="E304:E318">SUM(F304+N304)</f>
        <v>2040</v>
      </c>
      <c r="F304" s="21">
        <f aca="true" t="shared" si="58" ref="F304:F318">SUM(J304:M304)+G304</f>
        <v>2040</v>
      </c>
      <c r="G304" s="21">
        <f aca="true" t="shared" si="59" ref="G304:G318">SUM(H304:I304)</f>
        <v>0</v>
      </c>
      <c r="H304" s="263"/>
      <c r="I304" s="263"/>
      <c r="J304" s="263">
        <v>2040</v>
      </c>
      <c r="K304" s="263"/>
      <c r="L304" s="263"/>
      <c r="M304" s="263"/>
      <c r="N304" s="263"/>
      <c r="O304" s="263"/>
    </row>
    <row r="305" spans="1:15" ht="12.75">
      <c r="A305" s="504"/>
      <c r="B305" s="505"/>
      <c r="C305" s="507">
        <v>4119</v>
      </c>
      <c r="D305" s="14" t="s">
        <v>396</v>
      </c>
      <c r="E305" s="21">
        <f t="shared" si="57"/>
        <v>360</v>
      </c>
      <c r="F305" s="21">
        <f t="shared" si="58"/>
        <v>360</v>
      </c>
      <c r="G305" s="21">
        <f t="shared" si="59"/>
        <v>0</v>
      </c>
      <c r="H305" s="263"/>
      <c r="I305" s="263"/>
      <c r="J305" s="263">
        <v>360</v>
      </c>
      <c r="K305" s="263"/>
      <c r="L305" s="263"/>
      <c r="M305" s="263"/>
      <c r="N305" s="263"/>
      <c r="O305" s="263"/>
    </row>
    <row r="306" spans="1:15" ht="12.75">
      <c r="A306" s="504"/>
      <c r="B306" s="505"/>
      <c r="C306" s="507">
        <v>4120</v>
      </c>
      <c r="D306" s="14" t="s">
        <v>397</v>
      </c>
      <c r="E306" s="21">
        <f t="shared" si="57"/>
        <v>4399.88</v>
      </c>
      <c r="F306" s="21">
        <f t="shared" si="58"/>
        <v>4399.88</v>
      </c>
      <c r="G306" s="21">
        <f t="shared" si="59"/>
        <v>4399.88</v>
      </c>
      <c r="H306" s="263">
        <f>399.88+4000</f>
        <v>4399.88</v>
      </c>
      <c r="I306" s="263"/>
      <c r="J306" s="263"/>
      <c r="K306" s="263"/>
      <c r="L306" s="263"/>
      <c r="M306" s="263"/>
      <c r="N306" s="263"/>
      <c r="O306" s="263"/>
    </row>
    <row r="307" spans="1:15" ht="12.75">
      <c r="A307" s="504"/>
      <c r="B307" s="505"/>
      <c r="C307" s="507">
        <v>4127</v>
      </c>
      <c r="D307" s="14" t="s">
        <v>397</v>
      </c>
      <c r="E307" s="21">
        <f t="shared" si="57"/>
        <v>340</v>
      </c>
      <c r="F307" s="21">
        <f t="shared" si="58"/>
        <v>340</v>
      </c>
      <c r="G307" s="21">
        <f t="shared" si="59"/>
        <v>0</v>
      </c>
      <c r="H307" s="263"/>
      <c r="I307" s="263"/>
      <c r="J307" s="263">
        <v>340</v>
      </c>
      <c r="K307" s="263"/>
      <c r="L307" s="263"/>
      <c r="M307" s="263"/>
      <c r="N307" s="263"/>
      <c r="O307" s="263"/>
    </row>
    <row r="308" spans="1:15" ht="12.75">
      <c r="A308" s="504"/>
      <c r="B308" s="505"/>
      <c r="C308" s="507">
        <v>4129</v>
      </c>
      <c r="D308" s="14" t="s">
        <v>397</v>
      </c>
      <c r="E308" s="21">
        <f t="shared" si="57"/>
        <v>60</v>
      </c>
      <c r="F308" s="21">
        <f t="shared" si="58"/>
        <v>60</v>
      </c>
      <c r="G308" s="21">
        <f t="shared" si="59"/>
        <v>0</v>
      </c>
      <c r="H308" s="263"/>
      <c r="I308" s="263"/>
      <c r="J308" s="263">
        <v>60</v>
      </c>
      <c r="K308" s="263"/>
      <c r="L308" s="263"/>
      <c r="M308" s="263"/>
      <c r="N308" s="263"/>
      <c r="O308" s="263"/>
    </row>
    <row r="309" spans="1:15" ht="12.75">
      <c r="A309" s="504"/>
      <c r="B309" s="505"/>
      <c r="C309" s="516">
        <v>4170</v>
      </c>
      <c r="D309" s="516" t="s">
        <v>402</v>
      </c>
      <c r="E309" s="21">
        <f t="shared" si="57"/>
        <v>105222.95999999999</v>
      </c>
      <c r="F309" s="21">
        <f t="shared" si="58"/>
        <v>105222.95999999999</v>
      </c>
      <c r="G309" s="21">
        <f t="shared" si="59"/>
        <v>105222.95999999999</v>
      </c>
      <c r="H309" s="263">
        <f>18622.96+86600</f>
        <v>105222.95999999999</v>
      </c>
      <c r="I309" s="263"/>
      <c r="J309" s="263"/>
      <c r="K309" s="263"/>
      <c r="L309" s="263"/>
      <c r="M309" s="263"/>
      <c r="N309" s="263"/>
      <c r="O309" s="263"/>
    </row>
    <row r="310" spans="1:15" ht="12.75">
      <c r="A310" s="504"/>
      <c r="B310" s="505"/>
      <c r="C310" s="516">
        <v>4177</v>
      </c>
      <c r="D310" s="516" t="s">
        <v>402</v>
      </c>
      <c r="E310" s="21">
        <f t="shared" si="57"/>
        <v>37281</v>
      </c>
      <c r="F310" s="21">
        <f t="shared" si="58"/>
        <v>37281</v>
      </c>
      <c r="G310" s="21">
        <f t="shared" si="59"/>
        <v>0</v>
      </c>
      <c r="H310" s="263"/>
      <c r="I310" s="263"/>
      <c r="J310" s="263">
        <v>37281</v>
      </c>
      <c r="K310" s="263"/>
      <c r="L310" s="263"/>
      <c r="M310" s="263"/>
      <c r="N310" s="263"/>
      <c r="O310" s="263"/>
    </row>
    <row r="311" spans="1:15" ht="12.75">
      <c r="A311" s="504"/>
      <c r="B311" s="505"/>
      <c r="C311" s="516">
        <v>4179</v>
      </c>
      <c r="D311" s="516" t="s">
        <v>402</v>
      </c>
      <c r="E311" s="21">
        <f t="shared" si="57"/>
        <v>6579</v>
      </c>
      <c r="F311" s="21">
        <f t="shared" si="58"/>
        <v>6579</v>
      </c>
      <c r="G311" s="21">
        <f t="shared" si="59"/>
        <v>0</v>
      </c>
      <c r="H311" s="263"/>
      <c r="I311" s="263"/>
      <c r="J311" s="263">
        <v>6579</v>
      </c>
      <c r="K311" s="263"/>
      <c r="L311" s="263"/>
      <c r="M311" s="263"/>
      <c r="N311" s="263"/>
      <c r="O311" s="263"/>
    </row>
    <row r="312" spans="1:15" ht="12.75">
      <c r="A312" s="504"/>
      <c r="B312" s="505"/>
      <c r="C312" s="507">
        <v>4210</v>
      </c>
      <c r="D312" s="14" t="s">
        <v>308</v>
      </c>
      <c r="E312" s="21">
        <f>SUM(F312+N312)</f>
        <v>42093</v>
      </c>
      <c r="F312" s="21">
        <f>SUM(J312:M312)+G312</f>
        <v>42093</v>
      </c>
      <c r="G312" s="21">
        <f>SUM(H312:I312)</f>
        <v>42093</v>
      </c>
      <c r="H312" s="263"/>
      <c r="I312" s="263">
        <v>42093</v>
      </c>
      <c r="J312" s="263"/>
      <c r="K312" s="263"/>
      <c r="L312" s="263"/>
      <c r="M312" s="263"/>
      <c r="N312" s="263"/>
      <c r="O312" s="263"/>
    </row>
    <row r="313" spans="1:15" ht="12.75">
      <c r="A313" s="504"/>
      <c r="B313" s="505"/>
      <c r="C313" s="516">
        <v>4220</v>
      </c>
      <c r="D313" s="516" t="s">
        <v>30</v>
      </c>
      <c r="E313" s="21">
        <f>SUM(F313+N313)</f>
        <v>57664</v>
      </c>
      <c r="F313" s="21">
        <f>SUM(J313:M313)+G313</f>
        <v>57664</v>
      </c>
      <c r="G313" s="21">
        <f>SUM(H313:I313)</f>
        <v>57664</v>
      </c>
      <c r="H313" s="263"/>
      <c r="I313" s="263">
        <v>57664</v>
      </c>
      <c r="J313" s="263"/>
      <c r="K313" s="263"/>
      <c r="L313" s="263"/>
      <c r="M313" s="263"/>
      <c r="N313" s="263"/>
      <c r="O313" s="263"/>
    </row>
    <row r="314" spans="1:15" ht="10.5" customHeight="1">
      <c r="A314" s="504"/>
      <c r="B314" s="505"/>
      <c r="C314" s="605">
        <v>4240</v>
      </c>
      <c r="D314" s="606" t="s">
        <v>28</v>
      </c>
      <c r="E314" s="21">
        <f>SUM(F314+N314)</f>
        <v>52730</v>
      </c>
      <c r="F314" s="21">
        <f>SUM(J314:M314)+G314</f>
        <v>52730</v>
      </c>
      <c r="G314" s="21">
        <f>SUM(H314:I314)</f>
        <v>52730</v>
      </c>
      <c r="H314" s="263"/>
      <c r="I314" s="263">
        <v>52730</v>
      </c>
      <c r="J314" s="263"/>
      <c r="K314" s="263"/>
      <c r="L314" s="263"/>
      <c r="M314" s="263"/>
      <c r="N314" s="263"/>
      <c r="O314" s="263"/>
    </row>
    <row r="315" spans="1:15" ht="12.75">
      <c r="A315" s="504"/>
      <c r="B315" s="505"/>
      <c r="C315" s="507">
        <v>4300</v>
      </c>
      <c r="D315" s="14" t="s">
        <v>318</v>
      </c>
      <c r="E315" s="21">
        <f t="shared" si="57"/>
        <v>33530</v>
      </c>
      <c r="F315" s="21">
        <f t="shared" si="58"/>
        <v>33530</v>
      </c>
      <c r="G315" s="21">
        <f t="shared" si="59"/>
        <v>33530</v>
      </c>
      <c r="H315" s="263"/>
      <c r="I315" s="263">
        <f>22530+11000</f>
        <v>33530</v>
      </c>
      <c r="J315" s="263"/>
      <c r="K315" s="263"/>
      <c r="L315" s="263"/>
      <c r="M315" s="263"/>
      <c r="N315" s="263"/>
      <c r="O315" s="263"/>
    </row>
    <row r="316" spans="1:15" ht="12.75">
      <c r="A316" s="504"/>
      <c r="B316" s="505"/>
      <c r="C316" s="507">
        <v>4307</v>
      </c>
      <c r="D316" s="14" t="s">
        <v>318</v>
      </c>
      <c r="E316" s="21">
        <f t="shared" si="57"/>
        <v>14832.5</v>
      </c>
      <c r="F316" s="21">
        <f t="shared" si="58"/>
        <v>14832.5</v>
      </c>
      <c r="G316" s="21">
        <f t="shared" si="59"/>
        <v>0</v>
      </c>
      <c r="H316" s="263"/>
      <c r="I316" s="263"/>
      <c r="J316" s="263">
        <v>14832.5</v>
      </c>
      <c r="K316" s="263"/>
      <c r="L316" s="263"/>
      <c r="M316" s="263"/>
      <c r="N316" s="263"/>
      <c r="O316" s="263"/>
    </row>
    <row r="317" spans="1:15" ht="12.75">
      <c r="A317" s="504"/>
      <c r="B317" s="505"/>
      <c r="C317" s="507">
        <v>4309</v>
      </c>
      <c r="D317" s="14" t="s">
        <v>318</v>
      </c>
      <c r="E317" s="21">
        <f t="shared" si="57"/>
        <v>2617.5</v>
      </c>
      <c r="F317" s="21">
        <f t="shared" si="58"/>
        <v>2617.5</v>
      </c>
      <c r="G317" s="21">
        <f t="shared" si="59"/>
        <v>0</v>
      </c>
      <c r="H317" s="263"/>
      <c r="I317" s="263"/>
      <c r="J317" s="263">
        <v>2617.5</v>
      </c>
      <c r="K317" s="263"/>
      <c r="L317" s="263"/>
      <c r="M317" s="263"/>
      <c r="N317" s="263"/>
      <c r="O317" s="263"/>
    </row>
    <row r="318" spans="1:15" ht="12.75">
      <c r="A318" s="504"/>
      <c r="B318" s="505"/>
      <c r="C318" s="507">
        <v>4440</v>
      </c>
      <c r="D318" s="14" t="s">
        <v>416</v>
      </c>
      <c r="E318" s="21">
        <f t="shared" si="57"/>
        <v>169299</v>
      </c>
      <c r="F318" s="21">
        <f t="shared" si="58"/>
        <v>169299</v>
      </c>
      <c r="G318" s="21">
        <f t="shared" si="59"/>
        <v>169299</v>
      </c>
      <c r="H318" s="263"/>
      <c r="I318" s="263">
        <v>169299</v>
      </c>
      <c r="J318" s="263"/>
      <c r="K318" s="263"/>
      <c r="L318" s="263"/>
      <c r="M318" s="263"/>
      <c r="N318" s="263"/>
      <c r="O318" s="263"/>
    </row>
    <row r="319" spans="1:15" ht="56.25">
      <c r="A319" s="504"/>
      <c r="B319" s="505"/>
      <c r="C319" s="507">
        <v>4560</v>
      </c>
      <c r="D319" s="545" t="s">
        <v>510</v>
      </c>
      <c r="E319" s="21">
        <f>SUM(F319+N319)</f>
        <v>2000</v>
      </c>
      <c r="F319" s="21">
        <f>SUM(J319:M319)+G319</f>
        <v>2000</v>
      </c>
      <c r="G319" s="21">
        <f>SUM(H319:I319)</f>
        <v>2000</v>
      </c>
      <c r="H319" s="263"/>
      <c r="I319" s="263">
        <v>2000</v>
      </c>
      <c r="J319" s="263"/>
      <c r="K319" s="263"/>
      <c r="L319" s="263"/>
      <c r="M319" s="263"/>
      <c r="N319" s="263"/>
      <c r="O319" s="263"/>
    </row>
    <row r="320" spans="1:15" ht="12.75">
      <c r="A320" s="523">
        <v>851</v>
      </c>
      <c r="B320" s="524"/>
      <c r="C320" s="507"/>
      <c r="D320" s="513" t="s">
        <v>177</v>
      </c>
      <c r="E320" s="26">
        <f aca="true" t="shared" si="60" ref="E320:E366">SUM(F320+N320)</f>
        <v>550000</v>
      </c>
      <c r="F320" s="26">
        <f aca="true" t="shared" si="61" ref="F320:F366">SUM(J320:M320)+G320</f>
        <v>550000</v>
      </c>
      <c r="G320" s="26">
        <f aca="true" t="shared" si="62" ref="G320:G366">SUM(H320:I320)</f>
        <v>230760</v>
      </c>
      <c r="H320" s="25">
        <f aca="true" t="shared" si="63" ref="H320:O320">SUM(H327+H321)</f>
        <v>72000</v>
      </c>
      <c r="I320" s="25">
        <f t="shared" si="63"/>
        <v>158760</v>
      </c>
      <c r="J320" s="25">
        <f t="shared" si="63"/>
        <v>0</v>
      </c>
      <c r="K320" s="25">
        <f t="shared" si="63"/>
        <v>13600</v>
      </c>
      <c r="L320" s="25">
        <f t="shared" si="63"/>
        <v>305640</v>
      </c>
      <c r="M320" s="25">
        <f t="shared" si="63"/>
        <v>0</v>
      </c>
      <c r="N320" s="25">
        <f t="shared" si="63"/>
        <v>0</v>
      </c>
      <c r="O320" s="25">
        <f t="shared" si="63"/>
        <v>0</v>
      </c>
    </row>
    <row r="321" spans="1:15" ht="12.75">
      <c r="A321" s="514"/>
      <c r="B321" s="515">
        <v>85153</v>
      </c>
      <c r="C321" s="507"/>
      <c r="D321" s="513" t="s">
        <v>178</v>
      </c>
      <c r="E321" s="26">
        <f t="shared" si="60"/>
        <v>10000</v>
      </c>
      <c r="F321" s="26">
        <f t="shared" si="61"/>
        <v>10000</v>
      </c>
      <c r="G321" s="26">
        <f t="shared" si="62"/>
        <v>5200</v>
      </c>
      <c r="H321" s="25">
        <f aca="true" t="shared" si="64" ref="H321:O321">SUM(H322:H326)</f>
        <v>0</v>
      </c>
      <c r="I321" s="25">
        <f t="shared" si="64"/>
        <v>5200</v>
      </c>
      <c r="J321" s="25">
        <f t="shared" si="64"/>
        <v>0</v>
      </c>
      <c r="K321" s="25">
        <f t="shared" si="64"/>
        <v>1000</v>
      </c>
      <c r="L321" s="25">
        <f t="shared" si="64"/>
        <v>3800</v>
      </c>
      <c r="M321" s="25">
        <f t="shared" si="64"/>
        <v>0</v>
      </c>
      <c r="N321" s="25">
        <f t="shared" si="64"/>
        <v>0</v>
      </c>
      <c r="O321" s="25">
        <f t="shared" si="64"/>
        <v>0</v>
      </c>
    </row>
    <row r="322" spans="1:15" ht="33.75">
      <c r="A322" s="514"/>
      <c r="B322" s="515"/>
      <c r="C322" s="507">
        <v>2820</v>
      </c>
      <c r="D322" s="14" t="s">
        <v>2</v>
      </c>
      <c r="E322" s="21">
        <f t="shared" si="60"/>
        <v>3800</v>
      </c>
      <c r="F322" s="21">
        <f t="shared" si="61"/>
        <v>3800</v>
      </c>
      <c r="G322" s="21">
        <f t="shared" si="62"/>
        <v>0</v>
      </c>
      <c r="H322" s="263"/>
      <c r="I322" s="263"/>
      <c r="J322" s="263"/>
      <c r="K322" s="263"/>
      <c r="L322" s="241">
        <v>3800</v>
      </c>
      <c r="M322" s="263"/>
      <c r="N322" s="263"/>
      <c r="O322" s="263"/>
    </row>
    <row r="323" spans="1:15" ht="22.5">
      <c r="A323" s="514"/>
      <c r="B323" s="515"/>
      <c r="C323" s="507">
        <v>3040</v>
      </c>
      <c r="D323" s="14" t="s">
        <v>317</v>
      </c>
      <c r="E323" s="21">
        <f t="shared" si="60"/>
        <v>1000</v>
      </c>
      <c r="F323" s="21">
        <f t="shared" si="61"/>
        <v>1000</v>
      </c>
      <c r="G323" s="21">
        <f t="shared" si="62"/>
        <v>0</v>
      </c>
      <c r="H323" s="263"/>
      <c r="I323" s="263"/>
      <c r="J323" s="263"/>
      <c r="K323" s="263">
        <v>1000</v>
      </c>
      <c r="L323" s="263"/>
      <c r="M323" s="263"/>
      <c r="N323" s="263"/>
      <c r="O323" s="263"/>
    </row>
    <row r="324" spans="1:15" ht="12.75">
      <c r="A324" s="514"/>
      <c r="B324" s="515"/>
      <c r="C324" s="507">
        <v>4210</v>
      </c>
      <c r="D324" s="13" t="s">
        <v>308</v>
      </c>
      <c r="E324" s="21">
        <f t="shared" si="60"/>
        <v>2200</v>
      </c>
      <c r="F324" s="21">
        <f t="shared" si="61"/>
        <v>2200</v>
      </c>
      <c r="G324" s="21">
        <f t="shared" si="62"/>
        <v>2200</v>
      </c>
      <c r="H324" s="263"/>
      <c r="I324" s="263">
        <v>2200</v>
      </c>
      <c r="J324" s="263"/>
      <c r="K324" s="263"/>
      <c r="L324" s="263"/>
      <c r="M324" s="263"/>
      <c r="N324" s="263"/>
      <c r="O324" s="263"/>
    </row>
    <row r="325" spans="1:15" ht="12.75">
      <c r="A325" s="514"/>
      <c r="B325" s="515"/>
      <c r="C325" s="507">
        <v>4300</v>
      </c>
      <c r="D325" s="13" t="s">
        <v>318</v>
      </c>
      <c r="E325" s="21">
        <f t="shared" si="60"/>
        <v>2000</v>
      </c>
      <c r="F325" s="21">
        <f t="shared" si="61"/>
        <v>2000</v>
      </c>
      <c r="G325" s="21">
        <f t="shared" si="62"/>
        <v>2000</v>
      </c>
      <c r="H325" s="263"/>
      <c r="I325" s="263">
        <v>2000</v>
      </c>
      <c r="J325" s="263"/>
      <c r="K325" s="263"/>
      <c r="L325" s="263"/>
      <c r="M325" s="263"/>
      <c r="N325" s="263"/>
      <c r="O325" s="263"/>
    </row>
    <row r="326" spans="1:15" ht="22.5">
      <c r="A326" s="514"/>
      <c r="B326" s="515"/>
      <c r="C326" s="507">
        <v>4700</v>
      </c>
      <c r="D326" s="14" t="s">
        <v>319</v>
      </c>
      <c r="E326" s="21">
        <f t="shared" si="60"/>
        <v>1000</v>
      </c>
      <c r="F326" s="21">
        <f t="shared" si="61"/>
        <v>1000</v>
      </c>
      <c r="G326" s="21">
        <f t="shared" si="62"/>
        <v>1000</v>
      </c>
      <c r="H326" s="263"/>
      <c r="I326" s="263">
        <v>1000</v>
      </c>
      <c r="J326" s="263"/>
      <c r="K326" s="263"/>
      <c r="L326" s="263"/>
      <c r="M326" s="263"/>
      <c r="N326" s="263"/>
      <c r="O326" s="263"/>
    </row>
    <row r="327" spans="1:15" ht="12.75">
      <c r="A327" s="504"/>
      <c r="B327" s="505">
        <v>85154</v>
      </c>
      <c r="C327" s="508"/>
      <c r="D327" s="513" t="s">
        <v>179</v>
      </c>
      <c r="E327" s="26">
        <f t="shared" si="60"/>
        <v>540000</v>
      </c>
      <c r="F327" s="26">
        <f t="shared" si="61"/>
        <v>540000</v>
      </c>
      <c r="G327" s="26">
        <f t="shared" si="62"/>
        <v>225560</v>
      </c>
      <c r="H327" s="25">
        <f aca="true" t="shared" si="65" ref="H327:O327">SUM(H328:H341)</f>
        <v>72000</v>
      </c>
      <c r="I327" s="25">
        <f t="shared" si="65"/>
        <v>153560</v>
      </c>
      <c r="J327" s="25">
        <f t="shared" si="65"/>
        <v>0</v>
      </c>
      <c r="K327" s="25">
        <f t="shared" si="65"/>
        <v>12600</v>
      </c>
      <c r="L327" s="25">
        <f t="shared" si="65"/>
        <v>301840</v>
      </c>
      <c r="M327" s="25">
        <f t="shared" si="65"/>
        <v>0</v>
      </c>
      <c r="N327" s="25">
        <f t="shared" si="65"/>
        <v>0</v>
      </c>
      <c r="O327" s="25">
        <f t="shared" si="65"/>
        <v>0</v>
      </c>
    </row>
    <row r="328" spans="1:15" ht="22.5">
      <c r="A328" s="504"/>
      <c r="B328" s="505"/>
      <c r="C328" s="507">
        <v>2630</v>
      </c>
      <c r="D328" s="14" t="s">
        <v>34</v>
      </c>
      <c r="E328" s="21">
        <f t="shared" si="60"/>
        <v>16500</v>
      </c>
      <c r="F328" s="21">
        <f t="shared" si="61"/>
        <v>16500</v>
      </c>
      <c r="G328" s="21">
        <f t="shared" si="62"/>
        <v>0</v>
      </c>
      <c r="H328" s="263"/>
      <c r="I328" s="263"/>
      <c r="J328" s="263"/>
      <c r="K328" s="263"/>
      <c r="L328" s="263">
        <v>16500</v>
      </c>
      <c r="M328" s="263"/>
      <c r="N328" s="263"/>
      <c r="O328" s="263"/>
    </row>
    <row r="329" spans="1:15" ht="33.75">
      <c r="A329" s="504"/>
      <c r="B329" s="505"/>
      <c r="C329" s="507">
        <v>2710</v>
      </c>
      <c r="D329" s="14" t="s">
        <v>25</v>
      </c>
      <c r="E329" s="21">
        <f t="shared" si="60"/>
        <v>16000</v>
      </c>
      <c r="F329" s="21">
        <f t="shared" si="61"/>
        <v>16000</v>
      </c>
      <c r="G329" s="21">
        <f t="shared" si="62"/>
        <v>0</v>
      </c>
      <c r="H329" s="263"/>
      <c r="I329" s="263"/>
      <c r="J329" s="263"/>
      <c r="K329" s="263"/>
      <c r="L329" s="263">
        <v>16000</v>
      </c>
      <c r="M329" s="263"/>
      <c r="N329" s="263"/>
      <c r="O329" s="263"/>
    </row>
    <row r="330" spans="1:15" ht="33.75">
      <c r="A330" s="504"/>
      <c r="B330" s="505"/>
      <c r="C330" s="507">
        <v>2810</v>
      </c>
      <c r="D330" s="14" t="s">
        <v>35</v>
      </c>
      <c r="E330" s="21">
        <f t="shared" si="60"/>
        <v>47500</v>
      </c>
      <c r="F330" s="21">
        <f t="shared" si="61"/>
        <v>47500</v>
      </c>
      <c r="G330" s="21">
        <f t="shared" si="62"/>
        <v>0</v>
      </c>
      <c r="H330" s="263"/>
      <c r="I330" s="263"/>
      <c r="J330" s="263"/>
      <c r="K330" s="263"/>
      <c r="L330" s="263">
        <v>47500</v>
      </c>
      <c r="M330" s="263"/>
      <c r="N330" s="263"/>
      <c r="O330" s="263"/>
    </row>
    <row r="331" spans="1:15" ht="33.75">
      <c r="A331" s="504"/>
      <c r="B331" s="505"/>
      <c r="C331" s="507">
        <v>2820</v>
      </c>
      <c r="D331" s="14" t="s">
        <v>2</v>
      </c>
      <c r="E331" s="21">
        <f t="shared" si="60"/>
        <v>207840</v>
      </c>
      <c r="F331" s="21">
        <f t="shared" si="61"/>
        <v>207840</v>
      </c>
      <c r="G331" s="21">
        <f t="shared" si="62"/>
        <v>0</v>
      </c>
      <c r="H331" s="263"/>
      <c r="I331" s="263"/>
      <c r="J331" s="263"/>
      <c r="K331" s="263"/>
      <c r="L331" s="263">
        <v>207840</v>
      </c>
      <c r="M331" s="263"/>
      <c r="N331" s="263"/>
      <c r="O331" s="263"/>
    </row>
    <row r="332" spans="1:15" ht="12.75">
      <c r="A332" s="504"/>
      <c r="B332" s="505"/>
      <c r="C332" s="507">
        <v>3000</v>
      </c>
      <c r="D332" s="14" t="s">
        <v>36</v>
      </c>
      <c r="E332" s="21">
        <f t="shared" si="60"/>
        <v>14000</v>
      </c>
      <c r="F332" s="21">
        <f t="shared" si="61"/>
        <v>14000</v>
      </c>
      <c r="G332" s="21">
        <f t="shared" si="62"/>
        <v>0</v>
      </c>
      <c r="H332" s="263"/>
      <c r="I332" s="263"/>
      <c r="J332" s="263"/>
      <c r="K332" s="263"/>
      <c r="L332" s="263">
        <v>14000</v>
      </c>
      <c r="M332" s="263"/>
      <c r="N332" s="263"/>
      <c r="O332" s="263"/>
    </row>
    <row r="333" spans="1:15" ht="12.75">
      <c r="A333" s="504"/>
      <c r="B333" s="505"/>
      <c r="C333" s="507">
        <v>3030</v>
      </c>
      <c r="D333" s="13" t="s">
        <v>407</v>
      </c>
      <c r="E333" s="21">
        <f t="shared" si="60"/>
        <v>600</v>
      </c>
      <c r="F333" s="21">
        <f t="shared" si="61"/>
        <v>600</v>
      </c>
      <c r="G333" s="21">
        <f t="shared" si="62"/>
        <v>0</v>
      </c>
      <c r="H333" s="263"/>
      <c r="I333" s="263"/>
      <c r="J333" s="263"/>
      <c r="K333" s="263">
        <v>600</v>
      </c>
      <c r="L333" s="263"/>
      <c r="M333" s="263"/>
      <c r="N333" s="263"/>
      <c r="O333" s="263"/>
    </row>
    <row r="334" spans="1:15" ht="22.5">
      <c r="A334" s="504"/>
      <c r="B334" s="506"/>
      <c r="C334" s="507">
        <v>3040</v>
      </c>
      <c r="D334" s="14" t="s">
        <v>317</v>
      </c>
      <c r="E334" s="21">
        <f t="shared" si="60"/>
        <v>12000</v>
      </c>
      <c r="F334" s="21">
        <f t="shared" si="61"/>
        <v>12000</v>
      </c>
      <c r="G334" s="21">
        <f t="shared" si="62"/>
        <v>0</v>
      </c>
      <c r="H334" s="263"/>
      <c r="I334" s="263"/>
      <c r="J334" s="263"/>
      <c r="K334" s="263">
        <v>12000</v>
      </c>
      <c r="L334" s="263"/>
      <c r="M334" s="263"/>
      <c r="N334" s="263"/>
      <c r="O334" s="263"/>
    </row>
    <row r="335" spans="1:15" ht="12.75">
      <c r="A335" s="504"/>
      <c r="B335" s="506"/>
      <c r="C335" s="507">
        <v>4110</v>
      </c>
      <c r="D335" s="13" t="s">
        <v>396</v>
      </c>
      <c r="E335" s="21">
        <f t="shared" si="60"/>
        <v>1500</v>
      </c>
      <c r="F335" s="21">
        <f t="shared" si="61"/>
        <v>1500</v>
      </c>
      <c r="G335" s="21">
        <f t="shared" si="62"/>
        <v>1500</v>
      </c>
      <c r="H335" s="263">
        <v>1500</v>
      </c>
      <c r="I335" s="263"/>
      <c r="J335" s="263"/>
      <c r="K335" s="263"/>
      <c r="L335" s="263"/>
      <c r="M335" s="263"/>
      <c r="N335" s="263"/>
      <c r="O335" s="263"/>
    </row>
    <row r="336" spans="1:15" ht="12.75">
      <c r="A336" s="504"/>
      <c r="B336" s="506"/>
      <c r="C336" s="507">
        <v>4120</v>
      </c>
      <c r="D336" s="13" t="s">
        <v>397</v>
      </c>
      <c r="E336" s="21">
        <f t="shared" si="60"/>
        <v>500</v>
      </c>
      <c r="F336" s="21">
        <f t="shared" si="61"/>
        <v>500</v>
      </c>
      <c r="G336" s="21">
        <f t="shared" si="62"/>
        <v>500</v>
      </c>
      <c r="H336" s="263">
        <v>500</v>
      </c>
      <c r="I336" s="263"/>
      <c r="J336" s="263"/>
      <c r="K336" s="263"/>
      <c r="L336" s="263"/>
      <c r="M336" s="263"/>
      <c r="N336" s="263"/>
      <c r="O336" s="263"/>
    </row>
    <row r="337" spans="1:15" ht="12.75">
      <c r="A337" s="504"/>
      <c r="B337" s="506"/>
      <c r="C337" s="507">
        <v>4170</v>
      </c>
      <c r="D337" s="13" t="s">
        <v>402</v>
      </c>
      <c r="E337" s="21">
        <f t="shared" si="60"/>
        <v>70000</v>
      </c>
      <c r="F337" s="21">
        <f t="shared" si="61"/>
        <v>70000</v>
      </c>
      <c r="G337" s="21">
        <f t="shared" si="62"/>
        <v>70000</v>
      </c>
      <c r="H337" s="263">
        <v>70000</v>
      </c>
      <c r="I337" s="263"/>
      <c r="J337" s="263"/>
      <c r="K337" s="263"/>
      <c r="L337" s="263"/>
      <c r="M337" s="263"/>
      <c r="N337" s="263"/>
      <c r="O337" s="263"/>
    </row>
    <row r="338" spans="1:15" ht="12.75">
      <c r="A338" s="504"/>
      <c r="B338" s="506"/>
      <c r="C338" s="507">
        <v>4210</v>
      </c>
      <c r="D338" s="13" t="s">
        <v>308</v>
      </c>
      <c r="E338" s="21">
        <f t="shared" si="60"/>
        <v>35000</v>
      </c>
      <c r="F338" s="21">
        <f t="shared" si="61"/>
        <v>35000</v>
      </c>
      <c r="G338" s="21">
        <f t="shared" si="62"/>
        <v>35000</v>
      </c>
      <c r="H338" s="263"/>
      <c r="I338" s="263">
        <v>35000</v>
      </c>
      <c r="J338" s="263"/>
      <c r="K338" s="263"/>
      <c r="L338" s="263"/>
      <c r="M338" s="263"/>
      <c r="N338" s="263"/>
      <c r="O338" s="263"/>
    </row>
    <row r="339" spans="1:15" ht="12.75">
      <c r="A339" s="504"/>
      <c r="B339" s="506"/>
      <c r="C339" s="507">
        <v>4300</v>
      </c>
      <c r="D339" s="13" t="s">
        <v>318</v>
      </c>
      <c r="E339" s="21">
        <f t="shared" si="60"/>
        <v>115060</v>
      </c>
      <c r="F339" s="21">
        <f t="shared" si="61"/>
        <v>115060</v>
      </c>
      <c r="G339" s="21">
        <f t="shared" si="62"/>
        <v>115060</v>
      </c>
      <c r="H339" s="263"/>
      <c r="I339" s="263">
        <v>115060</v>
      </c>
      <c r="J339" s="263"/>
      <c r="K339" s="263"/>
      <c r="L339" s="263"/>
      <c r="M339" s="263"/>
      <c r="N339" s="263"/>
      <c r="O339" s="263"/>
    </row>
    <row r="340" spans="1:15" ht="12.75">
      <c r="A340" s="504"/>
      <c r="B340" s="506"/>
      <c r="C340" s="507">
        <v>4430</v>
      </c>
      <c r="D340" s="13" t="s">
        <v>398</v>
      </c>
      <c r="E340" s="21">
        <f t="shared" si="60"/>
        <v>500</v>
      </c>
      <c r="F340" s="21">
        <f t="shared" si="61"/>
        <v>500</v>
      </c>
      <c r="G340" s="21">
        <f t="shared" si="62"/>
        <v>500</v>
      </c>
      <c r="H340" s="263"/>
      <c r="I340" s="263">
        <v>500</v>
      </c>
      <c r="J340" s="263"/>
      <c r="K340" s="263"/>
      <c r="L340" s="263"/>
      <c r="M340" s="263"/>
      <c r="N340" s="263"/>
      <c r="O340" s="263"/>
    </row>
    <row r="341" spans="1:15" ht="22.5">
      <c r="A341" s="504"/>
      <c r="B341" s="506"/>
      <c r="C341" s="507">
        <v>4700</v>
      </c>
      <c r="D341" s="14" t="s">
        <v>319</v>
      </c>
      <c r="E341" s="21">
        <f t="shared" si="60"/>
        <v>3000</v>
      </c>
      <c r="F341" s="21">
        <f t="shared" si="61"/>
        <v>3000</v>
      </c>
      <c r="G341" s="21">
        <f t="shared" si="62"/>
        <v>3000</v>
      </c>
      <c r="H341" s="263"/>
      <c r="I341" s="263">
        <v>3000</v>
      </c>
      <c r="J341" s="263"/>
      <c r="K341" s="263"/>
      <c r="L341" s="263"/>
      <c r="M341" s="263"/>
      <c r="N341" s="263"/>
      <c r="O341" s="263"/>
    </row>
    <row r="342" spans="1:15" ht="12.75">
      <c r="A342" s="523">
        <v>852</v>
      </c>
      <c r="B342" s="524"/>
      <c r="C342" s="507"/>
      <c r="D342" s="513" t="s">
        <v>37</v>
      </c>
      <c r="E342" s="26">
        <f t="shared" si="60"/>
        <v>15872989</v>
      </c>
      <c r="F342" s="26">
        <f t="shared" si="61"/>
        <v>15357182</v>
      </c>
      <c r="G342" s="26">
        <f t="shared" si="62"/>
        <v>2672527</v>
      </c>
      <c r="H342" s="25">
        <f aca="true" t="shared" si="66" ref="H342:N342">SUM(H420+H411+H393+H390+H388+H385+H382+H361+H343)</f>
        <v>1678773</v>
      </c>
      <c r="I342" s="25">
        <f t="shared" si="66"/>
        <v>993754</v>
      </c>
      <c r="J342" s="25">
        <f t="shared" si="66"/>
        <v>0</v>
      </c>
      <c r="K342" s="25">
        <f t="shared" si="66"/>
        <v>12313855</v>
      </c>
      <c r="L342" s="25">
        <f t="shared" si="66"/>
        <v>370800</v>
      </c>
      <c r="M342" s="25">
        <f t="shared" si="66"/>
        <v>0</v>
      </c>
      <c r="N342" s="25">
        <f t="shared" si="66"/>
        <v>515807</v>
      </c>
      <c r="O342" s="25">
        <f>SUM(O420+O411+O393+O390+O388+O385+O382+O361+O343)</f>
        <v>515807</v>
      </c>
    </row>
    <row r="343" spans="1:15" ht="12.75">
      <c r="A343" s="504"/>
      <c r="B343" s="505">
        <v>85203</v>
      </c>
      <c r="C343" s="508"/>
      <c r="D343" s="513" t="s">
        <v>120</v>
      </c>
      <c r="E343" s="26">
        <f t="shared" si="60"/>
        <v>1369607</v>
      </c>
      <c r="F343" s="26">
        <f t="shared" si="61"/>
        <v>853800</v>
      </c>
      <c r="G343" s="26">
        <f t="shared" si="62"/>
        <v>498300</v>
      </c>
      <c r="H343" s="25">
        <f aca="true" t="shared" si="67" ref="H343:M343">SUM(H344:H359)</f>
        <v>227000</v>
      </c>
      <c r="I343" s="25">
        <f t="shared" si="67"/>
        <v>271300</v>
      </c>
      <c r="J343" s="25">
        <f t="shared" si="67"/>
        <v>0</v>
      </c>
      <c r="K343" s="25">
        <f t="shared" si="67"/>
        <v>2700</v>
      </c>
      <c r="L343" s="25">
        <f t="shared" si="67"/>
        <v>352800</v>
      </c>
      <c r="M343" s="25">
        <f t="shared" si="67"/>
        <v>0</v>
      </c>
      <c r="N343" s="25">
        <f>SUM(N344:N360)</f>
        <v>515807</v>
      </c>
      <c r="O343" s="25">
        <f>SUM(O344:O360)</f>
        <v>515807</v>
      </c>
    </row>
    <row r="344" spans="1:15" ht="69" customHeight="1">
      <c r="A344" s="504"/>
      <c r="B344" s="505"/>
      <c r="C344" s="800">
        <v>2360</v>
      </c>
      <c r="D344" s="799" t="s">
        <v>545</v>
      </c>
      <c r="E344" s="21">
        <f t="shared" si="60"/>
        <v>352800</v>
      </c>
      <c r="F344" s="21">
        <f t="shared" si="61"/>
        <v>352800</v>
      </c>
      <c r="G344" s="21">
        <f t="shared" si="62"/>
        <v>0</v>
      </c>
      <c r="H344" s="263"/>
      <c r="I344" s="263" t="s">
        <v>60</v>
      </c>
      <c r="J344" s="263"/>
      <c r="K344" s="263"/>
      <c r="L344" s="263">
        <v>352800</v>
      </c>
      <c r="M344" s="263"/>
      <c r="N344" s="263"/>
      <c r="O344" s="263"/>
    </row>
    <row r="345" spans="1:15" ht="12.75">
      <c r="A345" s="504"/>
      <c r="B345" s="505"/>
      <c r="C345" s="507">
        <v>3020</v>
      </c>
      <c r="D345" s="14" t="s">
        <v>401</v>
      </c>
      <c r="E345" s="21">
        <f t="shared" si="60"/>
        <v>2700</v>
      </c>
      <c r="F345" s="21">
        <f t="shared" si="61"/>
        <v>2700</v>
      </c>
      <c r="G345" s="21">
        <f t="shared" si="62"/>
        <v>0</v>
      </c>
      <c r="H345" s="263"/>
      <c r="I345" s="263"/>
      <c r="J345" s="263"/>
      <c r="K345" s="263">
        <v>2700</v>
      </c>
      <c r="L345" s="263"/>
      <c r="M345" s="263"/>
      <c r="N345" s="263"/>
      <c r="O345" s="263"/>
    </row>
    <row r="346" spans="1:15" ht="12.75">
      <c r="A346" s="504"/>
      <c r="B346" s="505"/>
      <c r="C346" s="507">
        <v>4010</v>
      </c>
      <c r="D346" s="14" t="s">
        <v>395</v>
      </c>
      <c r="E346" s="21">
        <f t="shared" si="60"/>
        <v>180000</v>
      </c>
      <c r="F346" s="21">
        <f t="shared" si="61"/>
        <v>180000</v>
      </c>
      <c r="G346" s="21">
        <f t="shared" si="62"/>
        <v>180000</v>
      </c>
      <c r="H346" s="263">
        <v>180000</v>
      </c>
      <c r="I346" s="263"/>
      <c r="J346" s="263"/>
      <c r="K346" s="263"/>
      <c r="L346" s="263"/>
      <c r="M346" s="263"/>
      <c r="N346" s="263"/>
      <c r="O346" s="263"/>
    </row>
    <row r="347" spans="1:15" ht="12.75">
      <c r="A347" s="504"/>
      <c r="B347" s="505"/>
      <c r="C347" s="507">
        <v>4040</v>
      </c>
      <c r="D347" s="14" t="s">
        <v>399</v>
      </c>
      <c r="E347" s="21">
        <f t="shared" si="60"/>
        <v>13500</v>
      </c>
      <c r="F347" s="21">
        <f t="shared" si="61"/>
        <v>13500</v>
      </c>
      <c r="G347" s="21">
        <f t="shared" si="62"/>
        <v>13500</v>
      </c>
      <c r="H347" s="263">
        <v>13500</v>
      </c>
      <c r="I347" s="263"/>
      <c r="J347" s="263"/>
      <c r="K347" s="263"/>
      <c r="L347" s="263"/>
      <c r="M347" s="263"/>
      <c r="N347" s="263"/>
      <c r="O347" s="263"/>
    </row>
    <row r="348" spans="1:15" ht="12.75">
      <c r="A348" s="504"/>
      <c r="B348" s="505"/>
      <c r="C348" s="507">
        <v>4110</v>
      </c>
      <c r="D348" s="14" t="s">
        <v>396</v>
      </c>
      <c r="E348" s="21">
        <f t="shared" si="60"/>
        <v>27950</v>
      </c>
      <c r="F348" s="21">
        <f t="shared" si="61"/>
        <v>27950</v>
      </c>
      <c r="G348" s="21">
        <f t="shared" si="62"/>
        <v>27950</v>
      </c>
      <c r="H348" s="263">
        <v>27950</v>
      </c>
      <c r="I348" s="263"/>
      <c r="J348" s="263"/>
      <c r="K348" s="263"/>
      <c r="L348" s="263"/>
      <c r="M348" s="263"/>
      <c r="N348" s="263"/>
      <c r="O348" s="263"/>
    </row>
    <row r="349" spans="1:15" ht="12.75">
      <c r="A349" s="504"/>
      <c r="B349" s="505"/>
      <c r="C349" s="507">
        <v>4120</v>
      </c>
      <c r="D349" s="14" t="s">
        <v>397</v>
      </c>
      <c r="E349" s="21">
        <f t="shared" si="60"/>
        <v>4300</v>
      </c>
      <c r="F349" s="21">
        <f t="shared" si="61"/>
        <v>4300</v>
      </c>
      <c r="G349" s="21">
        <f t="shared" si="62"/>
        <v>4300</v>
      </c>
      <c r="H349" s="263">
        <v>4300</v>
      </c>
      <c r="I349" s="263"/>
      <c r="J349" s="263"/>
      <c r="K349" s="263"/>
      <c r="L349" s="263"/>
      <c r="M349" s="263"/>
      <c r="N349" s="263"/>
      <c r="O349" s="263"/>
    </row>
    <row r="350" spans="1:15" ht="12.75">
      <c r="A350" s="504"/>
      <c r="B350" s="505"/>
      <c r="C350" s="507">
        <v>4170</v>
      </c>
      <c r="D350" s="14" t="s">
        <v>402</v>
      </c>
      <c r="E350" s="21">
        <f t="shared" si="60"/>
        <v>1250</v>
      </c>
      <c r="F350" s="21">
        <f t="shared" si="61"/>
        <v>1250</v>
      </c>
      <c r="G350" s="21">
        <f t="shared" si="62"/>
        <v>1250</v>
      </c>
      <c r="H350" s="263">
        <v>1250</v>
      </c>
      <c r="I350" s="263"/>
      <c r="J350" s="263"/>
      <c r="K350" s="263"/>
      <c r="L350" s="263"/>
      <c r="M350" s="263"/>
      <c r="N350" s="263"/>
      <c r="O350" s="263"/>
    </row>
    <row r="351" spans="1:15" ht="12.75">
      <c r="A351" s="504"/>
      <c r="B351" s="505"/>
      <c r="C351" s="507">
        <v>4210</v>
      </c>
      <c r="D351" s="14" t="s">
        <v>308</v>
      </c>
      <c r="E351" s="21">
        <f t="shared" si="60"/>
        <v>16000</v>
      </c>
      <c r="F351" s="21">
        <f t="shared" si="61"/>
        <v>16000</v>
      </c>
      <c r="G351" s="21">
        <f t="shared" si="62"/>
        <v>16000</v>
      </c>
      <c r="H351" s="263">
        <v>0</v>
      </c>
      <c r="I351" s="263">
        <v>16000</v>
      </c>
      <c r="J351" s="263"/>
      <c r="K351" s="263"/>
      <c r="L351" s="263"/>
      <c r="M351" s="263"/>
      <c r="N351" s="263"/>
      <c r="O351" s="263"/>
    </row>
    <row r="352" spans="1:15" ht="12.75">
      <c r="A352" s="504"/>
      <c r="B352" s="505"/>
      <c r="C352" s="516">
        <v>4220</v>
      </c>
      <c r="D352" s="516" t="s">
        <v>30</v>
      </c>
      <c r="E352" s="21">
        <f t="shared" si="60"/>
        <v>190000</v>
      </c>
      <c r="F352" s="21">
        <f t="shared" si="61"/>
        <v>190000</v>
      </c>
      <c r="G352" s="21">
        <f t="shared" si="62"/>
        <v>190000</v>
      </c>
      <c r="H352" s="263"/>
      <c r="I352" s="263">
        <v>190000</v>
      </c>
      <c r="J352" s="263"/>
      <c r="K352" s="263"/>
      <c r="L352" s="263"/>
      <c r="M352" s="263"/>
      <c r="N352" s="263"/>
      <c r="O352" s="263"/>
    </row>
    <row r="353" spans="1:15" ht="12.75">
      <c r="A353" s="504"/>
      <c r="B353" s="505"/>
      <c r="C353" s="507">
        <v>4260</v>
      </c>
      <c r="D353" s="14" t="s">
        <v>408</v>
      </c>
      <c r="E353" s="21">
        <f t="shared" si="60"/>
        <v>38000</v>
      </c>
      <c r="F353" s="21">
        <f t="shared" si="61"/>
        <v>38000</v>
      </c>
      <c r="G353" s="21">
        <f t="shared" si="62"/>
        <v>38000</v>
      </c>
      <c r="H353" s="263"/>
      <c r="I353" s="263">
        <v>38000</v>
      </c>
      <c r="J353" s="263"/>
      <c r="K353" s="263"/>
      <c r="L353" s="263"/>
      <c r="M353" s="263"/>
      <c r="N353" s="263"/>
      <c r="O353" s="263"/>
    </row>
    <row r="354" spans="1:15" ht="12.75">
      <c r="A354" s="504"/>
      <c r="B354" s="505"/>
      <c r="C354" s="507">
        <v>4270</v>
      </c>
      <c r="D354" s="14" t="s">
        <v>299</v>
      </c>
      <c r="E354" s="21">
        <f t="shared" si="60"/>
        <v>4000</v>
      </c>
      <c r="F354" s="21">
        <f t="shared" si="61"/>
        <v>4000</v>
      </c>
      <c r="G354" s="21">
        <f t="shared" si="62"/>
        <v>4000</v>
      </c>
      <c r="H354" s="263"/>
      <c r="I354" s="263">
        <v>4000</v>
      </c>
      <c r="J354" s="263"/>
      <c r="K354" s="263"/>
      <c r="L354" s="263"/>
      <c r="M354" s="263"/>
      <c r="N354" s="263"/>
      <c r="O354" s="263"/>
    </row>
    <row r="355" spans="1:15" ht="12.75">
      <c r="A355" s="504"/>
      <c r="B355" s="505"/>
      <c r="C355" s="507">
        <v>4280</v>
      </c>
      <c r="D355" s="14" t="s">
        <v>414</v>
      </c>
      <c r="E355" s="21">
        <f t="shared" si="60"/>
        <v>500</v>
      </c>
      <c r="F355" s="21">
        <f t="shared" si="61"/>
        <v>500</v>
      </c>
      <c r="G355" s="21">
        <f t="shared" si="62"/>
        <v>500</v>
      </c>
      <c r="H355" s="263"/>
      <c r="I355" s="263">
        <v>500</v>
      </c>
      <c r="J355" s="263"/>
      <c r="K355" s="263"/>
      <c r="L355" s="263"/>
      <c r="M355" s="263"/>
      <c r="N355" s="263"/>
      <c r="O355" s="263"/>
    </row>
    <row r="356" spans="1:15" ht="12.75">
      <c r="A356" s="504"/>
      <c r="B356" s="505"/>
      <c r="C356" s="507">
        <v>4300</v>
      </c>
      <c r="D356" s="14" t="s">
        <v>318</v>
      </c>
      <c r="E356" s="21">
        <f t="shared" si="60"/>
        <v>12000</v>
      </c>
      <c r="F356" s="21">
        <f t="shared" si="61"/>
        <v>12000</v>
      </c>
      <c r="G356" s="21">
        <f t="shared" si="62"/>
        <v>12000</v>
      </c>
      <c r="H356" s="263"/>
      <c r="I356" s="263">
        <v>12000</v>
      </c>
      <c r="J356" s="263"/>
      <c r="K356" s="263"/>
      <c r="L356" s="263"/>
      <c r="M356" s="263"/>
      <c r="N356" s="263"/>
      <c r="O356" s="263"/>
    </row>
    <row r="357" spans="1:15" ht="22.5">
      <c r="A357" s="504"/>
      <c r="B357" s="505"/>
      <c r="C357" s="507">
        <v>4370</v>
      </c>
      <c r="D357" s="14" t="s">
        <v>429</v>
      </c>
      <c r="E357" s="21">
        <f t="shared" si="60"/>
        <v>1300</v>
      </c>
      <c r="F357" s="21">
        <f t="shared" si="61"/>
        <v>1300</v>
      </c>
      <c r="G357" s="21">
        <f t="shared" si="62"/>
        <v>1300</v>
      </c>
      <c r="H357" s="263"/>
      <c r="I357" s="263">
        <v>1300</v>
      </c>
      <c r="J357" s="263"/>
      <c r="K357" s="263"/>
      <c r="L357" s="263"/>
      <c r="M357" s="263"/>
      <c r="N357" s="263"/>
      <c r="O357" s="263"/>
    </row>
    <row r="358" spans="1:15" ht="12.75">
      <c r="A358" s="504"/>
      <c r="B358" s="505"/>
      <c r="C358" s="507">
        <v>4410</v>
      </c>
      <c r="D358" s="14" t="s">
        <v>404</v>
      </c>
      <c r="E358" s="21">
        <f t="shared" si="60"/>
        <v>500</v>
      </c>
      <c r="F358" s="21">
        <f t="shared" si="61"/>
        <v>500</v>
      </c>
      <c r="G358" s="21">
        <f t="shared" si="62"/>
        <v>500</v>
      </c>
      <c r="H358" s="263"/>
      <c r="I358" s="263">
        <v>500</v>
      </c>
      <c r="J358" s="263"/>
      <c r="K358" s="263"/>
      <c r="L358" s="263"/>
      <c r="M358" s="263"/>
      <c r="N358" s="263"/>
      <c r="O358" s="263"/>
    </row>
    <row r="359" spans="1:15" ht="12.75">
      <c r="A359" s="504"/>
      <c r="B359" s="505"/>
      <c r="C359" s="507">
        <v>4440</v>
      </c>
      <c r="D359" s="14" t="s">
        <v>416</v>
      </c>
      <c r="E359" s="21">
        <f t="shared" si="60"/>
        <v>9000</v>
      </c>
      <c r="F359" s="21">
        <f t="shared" si="61"/>
        <v>9000</v>
      </c>
      <c r="G359" s="21">
        <f t="shared" si="62"/>
        <v>9000</v>
      </c>
      <c r="H359" s="263"/>
      <c r="I359" s="263">
        <v>9000</v>
      </c>
      <c r="J359" s="263"/>
      <c r="K359" s="263"/>
      <c r="L359" s="263"/>
      <c r="M359" s="263"/>
      <c r="N359" s="263"/>
      <c r="O359" s="263"/>
    </row>
    <row r="360" spans="1:15" ht="12.75">
      <c r="A360" s="504"/>
      <c r="B360" s="505"/>
      <c r="C360" s="507">
        <v>6050</v>
      </c>
      <c r="D360" s="14" t="s">
        <v>309</v>
      </c>
      <c r="E360" s="21">
        <f>SUM(F360+N360)</f>
        <v>515807</v>
      </c>
      <c r="F360" s="21">
        <f>SUM(J360:M360)+G360</f>
        <v>0</v>
      </c>
      <c r="G360" s="21">
        <f>SUM(H360:I360)</f>
        <v>0</v>
      </c>
      <c r="H360" s="263"/>
      <c r="I360" s="263"/>
      <c r="J360" s="263"/>
      <c r="K360" s="263"/>
      <c r="L360" s="263"/>
      <c r="M360" s="263"/>
      <c r="N360" s="263">
        <v>515807</v>
      </c>
      <c r="O360" s="263">
        <v>515807</v>
      </c>
    </row>
    <row r="361" spans="1:15" ht="45">
      <c r="A361" s="504"/>
      <c r="B361" s="505">
        <v>85212</v>
      </c>
      <c r="C361" s="508"/>
      <c r="D361" s="387" t="s">
        <v>411</v>
      </c>
      <c r="E361" s="26">
        <f t="shared" si="60"/>
        <v>10535355</v>
      </c>
      <c r="F361" s="26">
        <f t="shared" si="61"/>
        <v>10535355</v>
      </c>
      <c r="G361" s="26">
        <f t="shared" si="62"/>
        <v>438245</v>
      </c>
      <c r="H361" s="29">
        <f aca="true" t="shared" si="68" ref="H361:O361">SUM(H362:H381)</f>
        <v>273073</v>
      </c>
      <c r="I361" s="29">
        <f t="shared" si="68"/>
        <v>165172</v>
      </c>
      <c r="J361" s="29">
        <f t="shared" si="68"/>
        <v>0</v>
      </c>
      <c r="K361" s="29">
        <f t="shared" si="68"/>
        <v>10087110</v>
      </c>
      <c r="L361" s="29">
        <f t="shared" si="68"/>
        <v>10000</v>
      </c>
      <c r="M361" s="29">
        <f t="shared" si="68"/>
        <v>0</v>
      </c>
      <c r="N361" s="29">
        <f t="shared" si="68"/>
        <v>0</v>
      </c>
      <c r="O361" s="29">
        <f t="shared" si="68"/>
        <v>0</v>
      </c>
    </row>
    <row r="362" spans="1:15" ht="33.75">
      <c r="A362" s="504"/>
      <c r="B362" s="505"/>
      <c r="C362" s="507">
        <v>2910</v>
      </c>
      <c r="D362" s="519" t="s">
        <v>38</v>
      </c>
      <c r="E362" s="21">
        <f t="shared" si="60"/>
        <v>10000</v>
      </c>
      <c r="F362" s="21">
        <f t="shared" si="61"/>
        <v>10000</v>
      </c>
      <c r="G362" s="21">
        <f t="shared" si="62"/>
        <v>0</v>
      </c>
      <c r="H362" s="263"/>
      <c r="I362" s="263">
        <v>0</v>
      </c>
      <c r="J362" s="263"/>
      <c r="K362" s="263"/>
      <c r="L362" s="263">
        <v>10000</v>
      </c>
      <c r="M362" s="263"/>
      <c r="N362" s="263"/>
      <c r="O362" s="263"/>
    </row>
    <row r="363" spans="1:15" ht="12.75">
      <c r="A363" s="504"/>
      <c r="B363" s="505"/>
      <c r="C363" s="507">
        <v>3020</v>
      </c>
      <c r="D363" s="14" t="s">
        <v>401</v>
      </c>
      <c r="E363" s="21">
        <f t="shared" si="60"/>
        <v>3600</v>
      </c>
      <c r="F363" s="21">
        <f t="shared" si="61"/>
        <v>3600</v>
      </c>
      <c r="G363" s="21">
        <f t="shared" si="62"/>
        <v>0</v>
      </c>
      <c r="H363" s="263"/>
      <c r="I363" s="263"/>
      <c r="J363" s="263"/>
      <c r="K363" s="263">
        <v>3600</v>
      </c>
      <c r="L363" s="263"/>
      <c r="M363" s="263"/>
      <c r="N363" s="263"/>
      <c r="O363" s="263"/>
    </row>
    <row r="364" spans="1:15" ht="12.75">
      <c r="A364" s="504"/>
      <c r="B364" s="505"/>
      <c r="C364" s="516">
        <v>3110</v>
      </c>
      <c r="D364" s="516" t="s">
        <v>413</v>
      </c>
      <c r="E364" s="21">
        <f t="shared" si="60"/>
        <v>10083510</v>
      </c>
      <c r="F364" s="21">
        <f t="shared" si="61"/>
        <v>10083510</v>
      </c>
      <c r="G364" s="21">
        <f t="shared" si="62"/>
        <v>0</v>
      </c>
      <c r="H364" s="263"/>
      <c r="I364" s="263"/>
      <c r="J364" s="263"/>
      <c r="K364" s="263">
        <v>10083510</v>
      </c>
      <c r="L364" s="263"/>
      <c r="M364" s="263"/>
      <c r="N364" s="263"/>
      <c r="O364" s="263"/>
    </row>
    <row r="365" spans="1:15" ht="12.75">
      <c r="A365" s="504"/>
      <c r="B365" s="505"/>
      <c r="C365" s="507">
        <v>4010</v>
      </c>
      <c r="D365" s="14" t="s">
        <v>395</v>
      </c>
      <c r="E365" s="21">
        <f t="shared" si="60"/>
        <v>215500</v>
      </c>
      <c r="F365" s="21">
        <f t="shared" si="61"/>
        <v>215500</v>
      </c>
      <c r="G365" s="21">
        <f t="shared" si="62"/>
        <v>215500</v>
      </c>
      <c r="H365" s="263">
        <v>215500</v>
      </c>
      <c r="I365" s="263"/>
      <c r="J365" s="263"/>
      <c r="K365" s="263"/>
      <c r="L365" s="263"/>
      <c r="M365" s="263"/>
      <c r="N365" s="263"/>
      <c r="O365" s="263"/>
    </row>
    <row r="366" spans="1:15" ht="12.75">
      <c r="A366" s="504"/>
      <c r="B366" s="505"/>
      <c r="C366" s="507">
        <v>4040</v>
      </c>
      <c r="D366" s="14" t="s">
        <v>399</v>
      </c>
      <c r="E366" s="21">
        <f t="shared" si="60"/>
        <v>15000</v>
      </c>
      <c r="F366" s="21">
        <f t="shared" si="61"/>
        <v>15000</v>
      </c>
      <c r="G366" s="21">
        <f t="shared" si="62"/>
        <v>15000</v>
      </c>
      <c r="H366" s="263">
        <v>15000</v>
      </c>
      <c r="I366" s="263"/>
      <c r="J366" s="263"/>
      <c r="K366" s="263"/>
      <c r="L366" s="263"/>
      <c r="M366" s="263"/>
      <c r="N366" s="263"/>
      <c r="O366" s="263"/>
    </row>
    <row r="367" spans="1:15" ht="12.75">
      <c r="A367" s="504"/>
      <c r="B367" s="505"/>
      <c r="C367" s="507">
        <v>4110</v>
      </c>
      <c r="D367" s="14" t="s">
        <v>396</v>
      </c>
      <c r="E367" s="21">
        <f aca="true" t="shared" si="69" ref="E367:E423">SUM(F367+N367)</f>
        <v>108925</v>
      </c>
      <c r="F367" s="21">
        <f aca="true" t="shared" si="70" ref="F367:F423">SUM(J367:M367)+G367</f>
        <v>108925</v>
      </c>
      <c r="G367" s="21">
        <f aca="true" t="shared" si="71" ref="G367:G423">SUM(H367:I367)</f>
        <v>108925</v>
      </c>
      <c r="H367" s="263">
        <v>33523</v>
      </c>
      <c r="I367" s="263">
        <v>75402</v>
      </c>
      <c r="J367" s="263"/>
      <c r="K367" s="263"/>
      <c r="L367" s="263"/>
      <c r="M367" s="263"/>
      <c r="N367" s="263"/>
      <c r="O367" s="263"/>
    </row>
    <row r="368" spans="1:15" ht="12.75">
      <c r="A368" s="504"/>
      <c r="B368" s="505"/>
      <c r="C368" s="507">
        <v>4120</v>
      </c>
      <c r="D368" s="14" t="s">
        <v>397</v>
      </c>
      <c r="E368" s="21">
        <f t="shared" si="69"/>
        <v>5050</v>
      </c>
      <c r="F368" s="21">
        <f t="shared" si="70"/>
        <v>5050</v>
      </c>
      <c r="G368" s="21">
        <f t="shared" si="71"/>
        <v>5050</v>
      </c>
      <c r="H368" s="263">
        <v>5050</v>
      </c>
      <c r="I368" s="263"/>
      <c r="J368" s="263"/>
      <c r="K368" s="263"/>
      <c r="L368" s="263"/>
      <c r="M368" s="263"/>
      <c r="N368" s="263"/>
      <c r="O368" s="263"/>
    </row>
    <row r="369" spans="1:15" ht="12.75">
      <c r="A369" s="504"/>
      <c r="B369" s="505"/>
      <c r="C369" s="507">
        <v>4170</v>
      </c>
      <c r="D369" s="14" t="s">
        <v>402</v>
      </c>
      <c r="E369" s="21">
        <f t="shared" si="69"/>
        <v>4000</v>
      </c>
      <c r="F369" s="21">
        <f t="shared" si="70"/>
        <v>4000</v>
      </c>
      <c r="G369" s="21">
        <f t="shared" si="71"/>
        <v>4000</v>
      </c>
      <c r="H369" s="263">
        <v>4000</v>
      </c>
      <c r="I369" s="263"/>
      <c r="J369" s="263"/>
      <c r="K369" s="263"/>
      <c r="L369" s="263"/>
      <c r="M369" s="263"/>
      <c r="N369" s="263"/>
      <c r="O369" s="263"/>
    </row>
    <row r="370" spans="1:15" ht="12.75">
      <c r="A370" s="504"/>
      <c r="B370" s="505"/>
      <c r="C370" s="507">
        <v>4210</v>
      </c>
      <c r="D370" s="14" t="s">
        <v>308</v>
      </c>
      <c r="E370" s="21">
        <f t="shared" si="69"/>
        <v>27000</v>
      </c>
      <c r="F370" s="21">
        <f t="shared" si="70"/>
        <v>27000</v>
      </c>
      <c r="G370" s="21">
        <f t="shared" si="71"/>
        <v>27000</v>
      </c>
      <c r="H370" s="263"/>
      <c r="I370" s="263">
        <v>27000</v>
      </c>
      <c r="J370" s="263"/>
      <c r="K370" s="263"/>
      <c r="L370" s="263"/>
      <c r="M370" s="263"/>
      <c r="N370" s="263"/>
      <c r="O370" s="263"/>
    </row>
    <row r="371" spans="1:15" ht="12.75">
      <c r="A371" s="504"/>
      <c r="B371" s="505"/>
      <c r="C371" s="507">
        <v>4260</v>
      </c>
      <c r="D371" s="14" t="s">
        <v>408</v>
      </c>
      <c r="E371" s="21">
        <f t="shared" si="69"/>
        <v>15000</v>
      </c>
      <c r="F371" s="21">
        <f t="shared" si="70"/>
        <v>15000</v>
      </c>
      <c r="G371" s="21">
        <f t="shared" si="71"/>
        <v>15000</v>
      </c>
      <c r="H371" s="263"/>
      <c r="I371" s="263">
        <v>15000</v>
      </c>
      <c r="J371" s="263"/>
      <c r="K371" s="263"/>
      <c r="L371" s="263"/>
      <c r="M371" s="263"/>
      <c r="N371" s="263"/>
      <c r="O371" s="263"/>
    </row>
    <row r="372" spans="1:15" ht="12.75">
      <c r="A372" s="504"/>
      <c r="B372" s="505"/>
      <c r="C372" s="507">
        <v>4270</v>
      </c>
      <c r="D372" s="14" t="s">
        <v>299</v>
      </c>
      <c r="E372" s="21">
        <f t="shared" si="69"/>
        <v>3000</v>
      </c>
      <c r="F372" s="21">
        <f t="shared" si="70"/>
        <v>3000</v>
      </c>
      <c r="G372" s="21">
        <f t="shared" si="71"/>
        <v>3000</v>
      </c>
      <c r="H372" s="263"/>
      <c r="I372" s="263">
        <v>3000</v>
      </c>
      <c r="J372" s="263"/>
      <c r="K372" s="263"/>
      <c r="L372" s="263"/>
      <c r="M372" s="263"/>
      <c r="N372" s="263"/>
      <c r="O372" s="263"/>
    </row>
    <row r="373" spans="1:15" ht="12.75">
      <c r="A373" s="504"/>
      <c r="B373" s="505"/>
      <c r="C373" s="507">
        <v>4280</v>
      </c>
      <c r="D373" s="14" t="s">
        <v>414</v>
      </c>
      <c r="E373" s="21">
        <f t="shared" si="69"/>
        <v>1400</v>
      </c>
      <c r="F373" s="21">
        <f t="shared" si="70"/>
        <v>1400</v>
      </c>
      <c r="G373" s="21">
        <f t="shared" si="71"/>
        <v>1400</v>
      </c>
      <c r="H373" s="263"/>
      <c r="I373" s="263">
        <v>1400</v>
      </c>
      <c r="J373" s="263"/>
      <c r="K373" s="263"/>
      <c r="L373" s="263"/>
      <c r="M373" s="263"/>
      <c r="N373" s="263"/>
      <c r="O373" s="263"/>
    </row>
    <row r="374" spans="1:15" ht="12.75">
      <c r="A374" s="504"/>
      <c r="B374" s="505"/>
      <c r="C374" s="507">
        <v>4300</v>
      </c>
      <c r="D374" s="14" t="s">
        <v>318</v>
      </c>
      <c r="E374" s="21">
        <f t="shared" si="69"/>
        <v>14500</v>
      </c>
      <c r="F374" s="21">
        <f t="shared" si="70"/>
        <v>14500</v>
      </c>
      <c r="G374" s="21">
        <f t="shared" si="71"/>
        <v>14500</v>
      </c>
      <c r="H374" s="263"/>
      <c r="I374" s="263">
        <v>14500</v>
      </c>
      <c r="J374" s="263"/>
      <c r="K374" s="263"/>
      <c r="L374" s="263"/>
      <c r="M374" s="263"/>
      <c r="N374" s="263"/>
      <c r="O374" s="263"/>
    </row>
    <row r="375" spans="1:15" ht="12.75">
      <c r="A375" s="504"/>
      <c r="B375" s="505"/>
      <c r="C375" s="516">
        <v>4350</v>
      </c>
      <c r="D375" s="13" t="s">
        <v>415</v>
      </c>
      <c r="E375" s="21">
        <f t="shared" si="69"/>
        <v>500</v>
      </c>
      <c r="F375" s="21">
        <f t="shared" si="70"/>
        <v>500</v>
      </c>
      <c r="G375" s="21">
        <f t="shared" si="71"/>
        <v>500</v>
      </c>
      <c r="H375" s="263"/>
      <c r="I375" s="263">
        <v>500</v>
      </c>
      <c r="J375" s="263"/>
      <c r="K375" s="263"/>
      <c r="L375" s="263"/>
      <c r="M375" s="263"/>
      <c r="N375" s="263"/>
      <c r="O375" s="263"/>
    </row>
    <row r="376" spans="1:15" ht="22.5">
      <c r="A376" s="504"/>
      <c r="B376" s="505"/>
      <c r="C376" s="507">
        <v>4370</v>
      </c>
      <c r="D376" s="14" t="s">
        <v>429</v>
      </c>
      <c r="E376" s="21">
        <f t="shared" si="69"/>
        <v>5000</v>
      </c>
      <c r="F376" s="21">
        <f t="shared" si="70"/>
        <v>5000</v>
      </c>
      <c r="G376" s="21">
        <f t="shared" si="71"/>
        <v>5000</v>
      </c>
      <c r="H376" s="263"/>
      <c r="I376" s="263">
        <v>5000</v>
      </c>
      <c r="J376" s="263"/>
      <c r="K376" s="263"/>
      <c r="L376" s="263"/>
      <c r="M376" s="263"/>
      <c r="N376" s="263"/>
      <c r="O376" s="263"/>
    </row>
    <row r="377" spans="1:15" ht="12.75">
      <c r="A377" s="504"/>
      <c r="B377" s="505"/>
      <c r="C377" s="507">
        <v>4410</v>
      </c>
      <c r="D377" s="14" t="s">
        <v>404</v>
      </c>
      <c r="E377" s="21">
        <f t="shared" si="69"/>
        <v>2500</v>
      </c>
      <c r="F377" s="21">
        <f t="shared" si="70"/>
        <v>2500</v>
      </c>
      <c r="G377" s="21">
        <f t="shared" si="71"/>
        <v>2500</v>
      </c>
      <c r="H377" s="263"/>
      <c r="I377" s="263">
        <v>2500</v>
      </c>
      <c r="J377" s="263"/>
      <c r="K377" s="263"/>
      <c r="L377" s="263"/>
      <c r="M377" s="263"/>
      <c r="N377" s="263"/>
      <c r="O377" s="263"/>
    </row>
    <row r="378" spans="1:15" ht="12.75">
      <c r="A378" s="504"/>
      <c r="B378" s="505"/>
      <c r="C378" s="507">
        <v>4440</v>
      </c>
      <c r="D378" s="14" t="s">
        <v>416</v>
      </c>
      <c r="E378" s="21">
        <f t="shared" si="69"/>
        <v>13000</v>
      </c>
      <c r="F378" s="21">
        <f t="shared" si="70"/>
        <v>13000</v>
      </c>
      <c r="G378" s="21">
        <f t="shared" si="71"/>
        <v>13000</v>
      </c>
      <c r="H378" s="263"/>
      <c r="I378" s="263">
        <v>13000</v>
      </c>
      <c r="J378" s="263"/>
      <c r="K378" s="263"/>
      <c r="L378" s="263"/>
      <c r="M378" s="263"/>
      <c r="N378" s="263"/>
      <c r="O378" s="263"/>
    </row>
    <row r="379" spans="1:15" ht="33.75">
      <c r="A379" s="504"/>
      <c r="B379" s="506"/>
      <c r="C379" s="507">
        <v>4560</v>
      </c>
      <c r="D379" s="14" t="s">
        <v>39</v>
      </c>
      <c r="E379" s="21">
        <f t="shared" si="69"/>
        <v>2000</v>
      </c>
      <c r="F379" s="21">
        <f t="shared" si="70"/>
        <v>2000</v>
      </c>
      <c r="G379" s="21">
        <f t="shared" si="71"/>
        <v>2000</v>
      </c>
      <c r="H379" s="263"/>
      <c r="I379" s="263">
        <v>2000</v>
      </c>
      <c r="J379" s="263"/>
      <c r="K379" s="263"/>
      <c r="L379" s="263"/>
      <c r="M379" s="263"/>
      <c r="N379" s="263"/>
      <c r="O379" s="263"/>
    </row>
    <row r="380" spans="1:15" ht="12.75">
      <c r="A380" s="504"/>
      <c r="B380" s="506"/>
      <c r="C380" s="507">
        <v>4610</v>
      </c>
      <c r="D380" s="14" t="s">
        <v>428</v>
      </c>
      <c r="E380" s="21">
        <f t="shared" si="69"/>
        <v>870</v>
      </c>
      <c r="F380" s="21">
        <f t="shared" si="70"/>
        <v>870</v>
      </c>
      <c r="G380" s="21">
        <f t="shared" si="71"/>
        <v>870</v>
      </c>
      <c r="H380" s="263"/>
      <c r="I380" s="263">
        <v>870</v>
      </c>
      <c r="J380" s="263"/>
      <c r="K380" s="263"/>
      <c r="L380" s="263"/>
      <c r="M380" s="263"/>
      <c r="N380" s="263"/>
      <c r="O380" s="263"/>
    </row>
    <row r="381" spans="1:15" ht="22.5">
      <c r="A381" s="504"/>
      <c r="B381" s="506"/>
      <c r="C381" s="507">
        <v>4700</v>
      </c>
      <c r="D381" s="14" t="s">
        <v>319</v>
      </c>
      <c r="E381" s="21">
        <f t="shared" si="69"/>
        <v>5000</v>
      </c>
      <c r="F381" s="21">
        <f t="shared" si="70"/>
        <v>5000</v>
      </c>
      <c r="G381" s="21">
        <f t="shared" si="71"/>
        <v>5000</v>
      </c>
      <c r="H381" s="263"/>
      <c r="I381" s="263">
        <v>5000</v>
      </c>
      <c r="J381" s="263"/>
      <c r="K381" s="263"/>
      <c r="L381" s="263"/>
      <c r="M381" s="263"/>
      <c r="N381" s="263"/>
      <c r="O381" s="263"/>
    </row>
    <row r="382" spans="1:15" ht="57.75" customHeight="1">
      <c r="A382" s="504"/>
      <c r="B382" s="382">
        <v>85213</v>
      </c>
      <c r="C382" s="517"/>
      <c r="D382" s="387" t="s">
        <v>181</v>
      </c>
      <c r="E382" s="26">
        <f t="shared" si="69"/>
        <v>89682</v>
      </c>
      <c r="F382" s="26">
        <f t="shared" si="70"/>
        <v>89682</v>
      </c>
      <c r="G382" s="26">
        <f t="shared" si="71"/>
        <v>89682</v>
      </c>
      <c r="H382" s="29">
        <f aca="true" t="shared" si="72" ref="H382:O382">SUM(H383:H384)</f>
        <v>0</v>
      </c>
      <c r="I382" s="29">
        <f t="shared" si="72"/>
        <v>89682</v>
      </c>
      <c r="J382" s="29">
        <f t="shared" si="72"/>
        <v>0</v>
      </c>
      <c r="K382" s="29">
        <f t="shared" si="72"/>
        <v>0</v>
      </c>
      <c r="L382" s="29">
        <f t="shared" si="72"/>
        <v>0</v>
      </c>
      <c r="M382" s="29">
        <f t="shared" si="72"/>
        <v>0</v>
      </c>
      <c r="N382" s="29">
        <f t="shared" si="72"/>
        <v>0</v>
      </c>
      <c r="O382" s="29">
        <f t="shared" si="72"/>
        <v>0</v>
      </c>
    </row>
    <row r="383" spans="1:15" ht="12.75">
      <c r="A383" s="504"/>
      <c r="B383" s="505"/>
      <c r="C383" s="516">
        <v>4130</v>
      </c>
      <c r="D383" s="516" t="s">
        <v>40</v>
      </c>
      <c r="E383" s="21">
        <f t="shared" si="69"/>
        <v>13984</v>
      </c>
      <c r="F383" s="21">
        <f t="shared" si="70"/>
        <v>13984</v>
      </c>
      <c r="G383" s="21">
        <f t="shared" si="71"/>
        <v>13984</v>
      </c>
      <c r="H383" s="263"/>
      <c r="I383" s="263">
        <v>13984</v>
      </c>
      <c r="J383" s="263"/>
      <c r="K383" s="263"/>
      <c r="L383" s="263"/>
      <c r="M383" s="263"/>
      <c r="N383" s="263"/>
      <c r="O383" s="263"/>
    </row>
    <row r="384" spans="1:15" ht="12.75">
      <c r="A384" s="504"/>
      <c r="B384" s="505"/>
      <c r="C384" s="516">
        <v>4130</v>
      </c>
      <c r="D384" s="516" t="s">
        <v>40</v>
      </c>
      <c r="E384" s="21">
        <f t="shared" si="69"/>
        <v>75698</v>
      </c>
      <c r="F384" s="21">
        <f t="shared" si="70"/>
        <v>75698</v>
      </c>
      <c r="G384" s="21">
        <f t="shared" si="71"/>
        <v>75698</v>
      </c>
      <c r="H384" s="263"/>
      <c r="I384" s="263">
        <v>75698</v>
      </c>
      <c r="J384" s="263"/>
      <c r="K384" s="263"/>
      <c r="L384" s="263"/>
      <c r="M384" s="263"/>
      <c r="N384" s="263"/>
      <c r="O384" s="263"/>
    </row>
    <row r="385" spans="1:15" ht="22.5">
      <c r="A385" s="504"/>
      <c r="B385" s="382">
        <v>85214</v>
      </c>
      <c r="C385" s="517"/>
      <c r="D385" s="387" t="s">
        <v>182</v>
      </c>
      <c r="E385" s="26">
        <f t="shared" si="69"/>
        <v>880822</v>
      </c>
      <c r="F385" s="26">
        <f t="shared" si="70"/>
        <v>880822</v>
      </c>
      <c r="G385" s="26">
        <f t="shared" si="71"/>
        <v>240000</v>
      </c>
      <c r="H385" s="29">
        <f aca="true" t="shared" si="73" ref="H385:O385">SUM(H386:H387)</f>
        <v>0</v>
      </c>
      <c r="I385" s="29">
        <f t="shared" si="73"/>
        <v>240000</v>
      </c>
      <c r="J385" s="29">
        <f t="shared" si="73"/>
        <v>0</v>
      </c>
      <c r="K385" s="29">
        <f t="shared" si="73"/>
        <v>640822</v>
      </c>
      <c r="L385" s="29">
        <f t="shared" si="73"/>
        <v>0</v>
      </c>
      <c r="M385" s="29">
        <f t="shared" si="73"/>
        <v>0</v>
      </c>
      <c r="N385" s="29">
        <f t="shared" si="73"/>
        <v>0</v>
      </c>
      <c r="O385" s="29">
        <f t="shared" si="73"/>
        <v>0</v>
      </c>
    </row>
    <row r="386" spans="1:15" ht="12.75">
      <c r="A386" s="504"/>
      <c r="B386" s="200"/>
      <c r="C386" s="516">
        <v>3110</v>
      </c>
      <c r="D386" s="516" t="s">
        <v>413</v>
      </c>
      <c r="E386" s="21">
        <f t="shared" si="69"/>
        <v>640822</v>
      </c>
      <c r="F386" s="21">
        <f t="shared" si="70"/>
        <v>640822</v>
      </c>
      <c r="G386" s="21">
        <f t="shared" si="71"/>
        <v>0</v>
      </c>
      <c r="H386" s="263"/>
      <c r="I386" s="263"/>
      <c r="J386" s="263"/>
      <c r="K386" s="263">
        <f>840822-200000</f>
        <v>640822</v>
      </c>
      <c r="L386" s="263"/>
      <c r="M386" s="263"/>
      <c r="N386" s="263"/>
      <c r="O386" s="263"/>
    </row>
    <row r="387" spans="1:15" ht="33.75">
      <c r="A387" s="504"/>
      <c r="B387" s="200"/>
      <c r="C387" s="507">
        <v>4330</v>
      </c>
      <c r="D387" s="14" t="s">
        <v>41</v>
      </c>
      <c r="E387" s="21">
        <f t="shared" si="69"/>
        <v>240000</v>
      </c>
      <c r="F387" s="21">
        <f t="shared" si="70"/>
        <v>240000</v>
      </c>
      <c r="G387" s="21">
        <f t="shared" si="71"/>
        <v>240000</v>
      </c>
      <c r="H387" s="263"/>
      <c r="I387" s="263">
        <v>240000</v>
      </c>
      <c r="J387" s="263"/>
      <c r="K387" s="263"/>
      <c r="L387" s="263"/>
      <c r="M387" s="263"/>
      <c r="N387" s="263"/>
      <c r="O387" s="263"/>
    </row>
    <row r="388" spans="1:15" ht="12.75">
      <c r="A388" s="504"/>
      <c r="B388" s="505">
        <v>85215</v>
      </c>
      <c r="C388" s="508"/>
      <c r="D388" s="513" t="s">
        <v>183</v>
      </c>
      <c r="E388" s="26">
        <f t="shared" si="69"/>
        <v>500000</v>
      </c>
      <c r="F388" s="26">
        <f t="shared" si="70"/>
        <v>500000</v>
      </c>
      <c r="G388" s="21">
        <f t="shared" si="71"/>
        <v>0</v>
      </c>
      <c r="H388" s="25">
        <f aca="true" t="shared" si="74" ref="H388:O388">SUM(H389)</f>
        <v>0</v>
      </c>
      <c r="I388" s="25">
        <f t="shared" si="74"/>
        <v>0</v>
      </c>
      <c r="J388" s="25">
        <f t="shared" si="74"/>
        <v>0</v>
      </c>
      <c r="K388" s="25">
        <f t="shared" si="74"/>
        <v>500000</v>
      </c>
      <c r="L388" s="25">
        <f t="shared" si="74"/>
        <v>0</v>
      </c>
      <c r="M388" s="25">
        <f t="shared" si="74"/>
        <v>0</v>
      </c>
      <c r="N388" s="25">
        <f t="shared" si="74"/>
        <v>0</v>
      </c>
      <c r="O388" s="25">
        <f t="shared" si="74"/>
        <v>0</v>
      </c>
    </row>
    <row r="389" spans="1:15" ht="12.75">
      <c r="A389" s="504"/>
      <c r="B389" s="506"/>
      <c r="C389" s="507">
        <v>3110</v>
      </c>
      <c r="D389" s="14" t="s">
        <v>413</v>
      </c>
      <c r="E389" s="21">
        <f t="shared" si="69"/>
        <v>500000</v>
      </c>
      <c r="F389" s="21">
        <f t="shared" si="70"/>
        <v>500000</v>
      </c>
      <c r="G389" s="21">
        <f t="shared" si="71"/>
        <v>0</v>
      </c>
      <c r="H389" s="263"/>
      <c r="I389" s="263"/>
      <c r="J389" s="263"/>
      <c r="K389" s="263">
        <v>500000</v>
      </c>
      <c r="L389" s="263"/>
      <c r="M389" s="263"/>
      <c r="N389" s="263"/>
      <c r="O389" s="263"/>
    </row>
    <row r="390" spans="1:15" ht="12.75">
      <c r="A390" s="509"/>
      <c r="B390" s="505">
        <v>85216</v>
      </c>
      <c r="C390" s="508"/>
      <c r="D390" s="387" t="s">
        <v>131</v>
      </c>
      <c r="E390" s="26">
        <f t="shared" si="69"/>
        <v>660623</v>
      </c>
      <c r="F390" s="26">
        <f t="shared" si="70"/>
        <v>660623</v>
      </c>
      <c r="G390" s="21">
        <f t="shared" si="71"/>
        <v>0</v>
      </c>
      <c r="H390" s="29">
        <f aca="true" t="shared" si="75" ref="H390:O390">SUM(H391:H392)</f>
        <v>0</v>
      </c>
      <c r="I390" s="29">
        <f t="shared" si="75"/>
        <v>0</v>
      </c>
      <c r="J390" s="29">
        <f t="shared" si="75"/>
        <v>0</v>
      </c>
      <c r="K390" s="29">
        <f t="shared" si="75"/>
        <v>652623</v>
      </c>
      <c r="L390" s="29">
        <f t="shared" si="75"/>
        <v>8000</v>
      </c>
      <c r="M390" s="29">
        <f t="shared" si="75"/>
        <v>0</v>
      </c>
      <c r="N390" s="29">
        <f t="shared" si="75"/>
        <v>0</v>
      </c>
      <c r="O390" s="29">
        <f t="shared" si="75"/>
        <v>0</v>
      </c>
    </row>
    <row r="391" spans="1:15" ht="33.75">
      <c r="A391" s="504"/>
      <c r="B391" s="506"/>
      <c r="C391" s="507">
        <v>2910</v>
      </c>
      <c r="D391" s="519" t="s">
        <v>38</v>
      </c>
      <c r="E391" s="21">
        <f t="shared" si="69"/>
        <v>8000</v>
      </c>
      <c r="F391" s="21">
        <f t="shared" si="70"/>
        <v>8000</v>
      </c>
      <c r="G391" s="21">
        <f t="shared" si="71"/>
        <v>0</v>
      </c>
      <c r="H391" s="263"/>
      <c r="I391" s="263">
        <v>0</v>
      </c>
      <c r="J391" s="263"/>
      <c r="K391" s="263"/>
      <c r="L391" s="263">
        <v>8000</v>
      </c>
      <c r="M391" s="263"/>
      <c r="N391" s="263"/>
      <c r="O391" s="263"/>
    </row>
    <row r="392" spans="1:15" ht="12.75">
      <c r="A392" s="504"/>
      <c r="B392" s="506"/>
      <c r="C392" s="516">
        <v>3110</v>
      </c>
      <c r="D392" s="516" t="s">
        <v>413</v>
      </c>
      <c r="E392" s="21">
        <f t="shared" si="69"/>
        <v>652623</v>
      </c>
      <c r="F392" s="21">
        <f t="shared" si="70"/>
        <v>652623</v>
      </c>
      <c r="G392" s="21">
        <f t="shared" si="71"/>
        <v>0</v>
      </c>
      <c r="H392" s="263"/>
      <c r="I392" s="263"/>
      <c r="J392" s="263"/>
      <c r="K392" s="263">
        <v>652623</v>
      </c>
      <c r="L392" s="263"/>
      <c r="M392" s="263"/>
      <c r="N392" s="263"/>
      <c r="O392" s="263"/>
    </row>
    <row r="393" spans="1:15" ht="12.75">
      <c r="A393" s="504"/>
      <c r="B393" s="382">
        <v>85219</v>
      </c>
      <c r="C393" s="517"/>
      <c r="D393" s="513" t="s">
        <v>184</v>
      </c>
      <c r="E393" s="26">
        <f t="shared" si="69"/>
        <v>955200</v>
      </c>
      <c r="F393" s="26">
        <f t="shared" si="70"/>
        <v>955200</v>
      </c>
      <c r="G393" s="26">
        <f t="shared" si="71"/>
        <v>945200</v>
      </c>
      <c r="H393" s="25">
        <f aca="true" t="shared" si="76" ref="H393:O393">SUM(H394:H410)</f>
        <v>858000</v>
      </c>
      <c r="I393" s="25">
        <f t="shared" si="76"/>
        <v>87200</v>
      </c>
      <c r="J393" s="25">
        <f t="shared" si="76"/>
        <v>0</v>
      </c>
      <c r="K393" s="25">
        <f t="shared" si="76"/>
        <v>10000</v>
      </c>
      <c r="L393" s="25">
        <f t="shared" si="76"/>
        <v>0</v>
      </c>
      <c r="M393" s="25">
        <f t="shared" si="76"/>
        <v>0</v>
      </c>
      <c r="N393" s="25">
        <f t="shared" si="76"/>
        <v>0</v>
      </c>
      <c r="O393" s="25">
        <f t="shared" si="76"/>
        <v>0</v>
      </c>
    </row>
    <row r="394" spans="1:15" ht="12.75">
      <c r="A394" s="504"/>
      <c r="B394" s="200"/>
      <c r="C394" s="507">
        <v>3020</v>
      </c>
      <c r="D394" s="14" t="s">
        <v>401</v>
      </c>
      <c r="E394" s="21">
        <f t="shared" si="69"/>
        <v>10000</v>
      </c>
      <c r="F394" s="21">
        <f t="shared" si="70"/>
        <v>10000</v>
      </c>
      <c r="G394" s="21">
        <f t="shared" si="71"/>
        <v>0</v>
      </c>
      <c r="H394" s="263"/>
      <c r="I394" s="263"/>
      <c r="J394" s="263"/>
      <c r="K394" s="263">
        <v>10000</v>
      </c>
      <c r="L394" s="263"/>
      <c r="M394" s="263"/>
      <c r="N394" s="263"/>
      <c r="O394" s="263"/>
    </row>
    <row r="395" spans="1:15" ht="12.75">
      <c r="A395" s="504"/>
      <c r="B395" s="200"/>
      <c r="C395" s="507">
        <v>4010</v>
      </c>
      <c r="D395" s="14" t="s">
        <v>395</v>
      </c>
      <c r="E395" s="21">
        <f t="shared" si="69"/>
        <v>678000</v>
      </c>
      <c r="F395" s="21">
        <f t="shared" si="70"/>
        <v>678000</v>
      </c>
      <c r="G395" s="21">
        <f t="shared" si="71"/>
        <v>678000</v>
      </c>
      <c r="H395" s="263">
        <v>678000</v>
      </c>
      <c r="I395" s="263"/>
      <c r="J395" s="263"/>
      <c r="K395" s="263"/>
      <c r="L395" s="263"/>
      <c r="M395" s="263"/>
      <c r="N395" s="263"/>
      <c r="O395" s="263"/>
    </row>
    <row r="396" spans="1:15" ht="12.75">
      <c r="A396" s="504"/>
      <c r="B396" s="200"/>
      <c r="C396" s="507">
        <v>4040</v>
      </c>
      <c r="D396" s="14" t="s">
        <v>399</v>
      </c>
      <c r="E396" s="21">
        <f t="shared" si="69"/>
        <v>56600</v>
      </c>
      <c r="F396" s="21">
        <f t="shared" si="70"/>
        <v>56600</v>
      </c>
      <c r="G396" s="21">
        <f t="shared" si="71"/>
        <v>56600</v>
      </c>
      <c r="H396" s="263">
        <v>56600</v>
      </c>
      <c r="I396" s="263"/>
      <c r="J396" s="263"/>
      <c r="K396" s="263"/>
      <c r="L396" s="263"/>
      <c r="M396" s="263"/>
      <c r="N396" s="263"/>
      <c r="O396" s="263"/>
    </row>
    <row r="397" spans="1:15" ht="12.75">
      <c r="A397" s="504"/>
      <c r="B397" s="200"/>
      <c r="C397" s="507">
        <v>4110</v>
      </c>
      <c r="D397" s="14" t="s">
        <v>396</v>
      </c>
      <c r="E397" s="21">
        <f t="shared" si="69"/>
        <v>102200</v>
      </c>
      <c r="F397" s="21">
        <f t="shared" si="70"/>
        <v>102200</v>
      </c>
      <c r="G397" s="21">
        <f t="shared" si="71"/>
        <v>102200</v>
      </c>
      <c r="H397" s="263">
        <v>102200</v>
      </c>
      <c r="I397" s="263"/>
      <c r="J397" s="263"/>
      <c r="K397" s="263"/>
      <c r="L397" s="263"/>
      <c r="M397" s="263"/>
      <c r="N397" s="263"/>
      <c r="O397" s="263"/>
    </row>
    <row r="398" spans="1:15" ht="12.75">
      <c r="A398" s="504"/>
      <c r="B398" s="200"/>
      <c r="C398" s="507">
        <v>4120</v>
      </c>
      <c r="D398" s="14" t="s">
        <v>397</v>
      </c>
      <c r="E398" s="21">
        <f t="shared" si="69"/>
        <v>16700</v>
      </c>
      <c r="F398" s="21">
        <f t="shared" si="70"/>
        <v>16700</v>
      </c>
      <c r="G398" s="21">
        <f t="shared" si="71"/>
        <v>16700</v>
      </c>
      <c r="H398" s="263">
        <v>16700</v>
      </c>
      <c r="I398" s="263"/>
      <c r="J398" s="263"/>
      <c r="K398" s="263"/>
      <c r="L398" s="263"/>
      <c r="M398" s="263"/>
      <c r="N398" s="263"/>
      <c r="O398" s="263"/>
    </row>
    <row r="399" spans="1:15" ht="12.75">
      <c r="A399" s="504"/>
      <c r="B399" s="200"/>
      <c r="C399" s="507">
        <v>4170</v>
      </c>
      <c r="D399" s="14" t="s">
        <v>402</v>
      </c>
      <c r="E399" s="21">
        <f t="shared" si="69"/>
        <v>4500</v>
      </c>
      <c r="F399" s="21">
        <f t="shared" si="70"/>
        <v>4500</v>
      </c>
      <c r="G399" s="21">
        <f t="shared" si="71"/>
        <v>4500</v>
      </c>
      <c r="H399" s="263">
        <v>4500</v>
      </c>
      <c r="I399" s="263"/>
      <c r="J399" s="263"/>
      <c r="K399" s="263"/>
      <c r="L399" s="263"/>
      <c r="M399" s="263"/>
      <c r="N399" s="263"/>
      <c r="O399" s="263"/>
    </row>
    <row r="400" spans="1:15" ht="12.75">
      <c r="A400" s="504"/>
      <c r="B400" s="200"/>
      <c r="C400" s="507">
        <v>4210</v>
      </c>
      <c r="D400" s="14" t="s">
        <v>308</v>
      </c>
      <c r="E400" s="21">
        <f t="shared" si="69"/>
        <v>18900</v>
      </c>
      <c r="F400" s="21">
        <f t="shared" si="70"/>
        <v>18900</v>
      </c>
      <c r="G400" s="21">
        <f t="shared" si="71"/>
        <v>18900</v>
      </c>
      <c r="H400" s="263"/>
      <c r="I400" s="263">
        <v>18900</v>
      </c>
      <c r="J400" s="263"/>
      <c r="K400" s="263"/>
      <c r="L400" s="263"/>
      <c r="M400" s="263"/>
      <c r="N400" s="263"/>
      <c r="O400" s="263"/>
    </row>
    <row r="401" spans="1:15" ht="12.75">
      <c r="A401" s="504"/>
      <c r="B401" s="200"/>
      <c r="C401" s="507">
        <v>4260</v>
      </c>
      <c r="D401" s="14" t="s">
        <v>408</v>
      </c>
      <c r="E401" s="21">
        <f t="shared" si="69"/>
        <v>13000</v>
      </c>
      <c r="F401" s="21">
        <f t="shared" si="70"/>
        <v>13000</v>
      </c>
      <c r="G401" s="21">
        <f t="shared" si="71"/>
        <v>13000</v>
      </c>
      <c r="H401" s="263"/>
      <c r="I401" s="263">
        <v>13000</v>
      </c>
      <c r="J401" s="263"/>
      <c r="K401" s="263"/>
      <c r="L401" s="263"/>
      <c r="M401" s="263"/>
      <c r="N401" s="263"/>
      <c r="O401" s="263"/>
    </row>
    <row r="402" spans="1:15" ht="12.75">
      <c r="A402" s="504"/>
      <c r="B402" s="200"/>
      <c r="C402" s="507">
        <v>4270</v>
      </c>
      <c r="D402" s="14" t="s">
        <v>299</v>
      </c>
      <c r="E402" s="21">
        <f t="shared" si="69"/>
        <v>5000</v>
      </c>
      <c r="F402" s="21">
        <f t="shared" si="70"/>
        <v>5000</v>
      </c>
      <c r="G402" s="21">
        <f t="shared" si="71"/>
        <v>5000</v>
      </c>
      <c r="H402" s="263"/>
      <c r="I402" s="263">
        <v>5000</v>
      </c>
      <c r="J402" s="263"/>
      <c r="K402" s="263"/>
      <c r="L402" s="263"/>
      <c r="M402" s="263"/>
      <c r="N402" s="263"/>
      <c r="O402" s="263"/>
    </row>
    <row r="403" spans="1:15" ht="12.75">
      <c r="A403" s="504"/>
      <c r="B403" s="200"/>
      <c r="C403" s="507">
        <v>4280</v>
      </c>
      <c r="D403" s="14" t="s">
        <v>414</v>
      </c>
      <c r="E403" s="21">
        <f t="shared" si="69"/>
        <v>1000</v>
      </c>
      <c r="F403" s="21">
        <f t="shared" si="70"/>
        <v>1000</v>
      </c>
      <c r="G403" s="21">
        <f t="shared" si="71"/>
        <v>1000</v>
      </c>
      <c r="H403" s="263"/>
      <c r="I403" s="263">
        <v>1000</v>
      </c>
      <c r="J403" s="263"/>
      <c r="K403" s="263"/>
      <c r="L403" s="263"/>
      <c r="M403" s="263"/>
      <c r="N403" s="263"/>
      <c r="O403" s="263"/>
    </row>
    <row r="404" spans="1:15" ht="12.75">
      <c r="A404" s="504"/>
      <c r="B404" s="200"/>
      <c r="C404" s="507">
        <v>4300</v>
      </c>
      <c r="D404" s="14" t="s">
        <v>318</v>
      </c>
      <c r="E404" s="21">
        <f t="shared" si="69"/>
        <v>11000</v>
      </c>
      <c r="F404" s="21">
        <f t="shared" si="70"/>
        <v>11000</v>
      </c>
      <c r="G404" s="21">
        <f t="shared" si="71"/>
        <v>11000</v>
      </c>
      <c r="H404" s="263"/>
      <c r="I404" s="263">
        <v>11000</v>
      </c>
      <c r="J404" s="263"/>
      <c r="K404" s="263"/>
      <c r="L404" s="263"/>
      <c r="M404" s="263"/>
      <c r="N404" s="263"/>
      <c r="O404" s="263"/>
    </row>
    <row r="405" spans="1:15" ht="12.75">
      <c r="A405" s="504"/>
      <c r="B405" s="200"/>
      <c r="C405" s="516">
        <v>4350</v>
      </c>
      <c r="D405" s="13" t="s">
        <v>415</v>
      </c>
      <c r="E405" s="21">
        <f t="shared" si="69"/>
        <v>400</v>
      </c>
      <c r="F405" s="21">
        <f t="shared" si="70"/>
        <v>400</v>
      </c>
      <c r="G405" s="21">
        <f t="shared" si="71"/>
        <v>400</v>
      </c>
      <c r="H405" s="263"/>
      <c r="I405" s="263">
        <v>400</v>
      </c>
      <c r="J405" s="263"/>
      <c r="K405" s="263"/>
      <c r="L405" s="263"/>
      <c r="M405" s="263"/>
      <c r="N405" s="263"/>
      <c r="O405" s="263"/>
    </row>
    <row r="406" spans="1:15" ht="22.5">
      <c r="A406" s="504"/>
      <c r="B406" s="10"/>
      <c r="C406" s="507">
        <v>4370</v>
      </c>
      <c r="D406" s="14" t="s">
        <v>429</v>
      </c>
      <c r="E406" s="21">
        <f t="shared" si="69"/>
        <v>3000</v>
      </c>
      <c r="F406" s="21">
        <f t="shared" si="70"/>
        <v>3000</v>
      </c>
      <c r="G406" s="21">
        <f t="shared" si="71"/>
        <v>3000</v>
      </c>
      <c r="H406" s="263"/>
      <c r="I406" s="263">
        <v>3000</v>
      </c>
      <c r="J406" s="263"/>
      <c r="K406" s="263"/>
      <c r="L406" s="263"/>
      <c r="M406" s="263"/>
      <c r="N406" s="263"/>
      <c r="O406" s="263"/>
    </row>
    <row r="407" spans="1:15" ht="12.75">
      <c r="A407" s="504"/>
      <c r="B407" s="10"/>
      <c r="C407" s="507">
        <v>4410</v>
      </c>
      <c r="D407" s="14" t="s">
        <v>404</v>
      </c>
      <c r="E407" s="21">
        <f t="shared" si="69"/>
        <v>4000</v>
      </c>
      <c r="F407" s="21">
        <f t="shared" si="70"/>
        <v>4000</v>
      </c>
      <c r="G407" s="21">
        <f t="shared" si="71"/>
        <v>4000</v>
      </c>
      <c r="H407" s="263"/>
      <c r="I407" s="263">
        <v>4000</v>
      </c>
      <c r="J407" s="263"/>
      <c r="K407" s="263"/>
      <c r="L407" s="263"/>
      <c r="M407" s="263"/>
      <c r="N407" s="263"/>
      <c r="O407" s="263"/>
    </row>
    <row r="408" spans="1:15" ht="12.75">
      <c r="A408" s="504"/>
      <c r="B408" s="10"/>
      <c r="C408" s="507">
        <v>4430</v>
      </c>
      <c r="D408" s="14" t="s">
        <v>398</v>
      </c>
      <c r="E408" s="21">
        <f t="shared" si="69"/>
        <v>200</v>
      </c>
      <c r="F408" s="21">
        <f t="shared" si="70"/>
        <v>200</v>
      </c>
      <c r="G408" s="21">
        <f t="shared" si="71"/>
        <v>200</v>
      </c>
      <c r="H408" s="263"/>
      <c r="I408" s="263">
        <v>200</v>
      </c>
      <c r="J408" s="263"/>
      <c r="K408" s="263"/>
      <c r="L408" s="263"/>
      <c r="M408" s="263"/>
      <c r="N408" s="263"/>
      <c r="O408" s="263"/>
    </row>
    <row r="409" spans="1:15" ht="12.75">
      <c r="A409" s="504"/>
      <c r="B409" s="10"/>
      <c r="C409" s="507">
        <v>4440</v>
      </c>
      <c r="D409" s="14" t="s">
        <v>416</v>
      </c>
      <c r="E409" s="21">
        <f t="shared" si="69"/>
        <v>26700</v>
      </c>
      <c r="F409" s="21">
        <f t="shared" si="70"/>
        <v>26700</v>
      </c>
      <c r="G409" s="21">
        <f t="shared" si="71"/>
        <v>26700</v>
      </c>
      <c r="H409" s="263"/>
      <c r="I409" s="263">
        <v>26700</v>
      </c>
      <c r="J409" s="263"/>
      <c r="K409" s="263"/>
      <c r="L409" s="263"/>
      <c r="M409" s="263"/>
      <c r="N409" s="263"/>
      <c r="O409" s="263"/>
    </row>
    <row r="410" spans="1:15" ht="22.5">
      <c r="A410" s="504"/>
      <c r="B410" s="10"/>
      <c r="C410" s="507">
        <v>4700</v>
      </c>
      <c r="D410" s="14" t="s">
        <v>319</v>
      </c>
      <c r="E410" s="21">
        <f t="shared" si="69"/>
        <v>4000</v>
      </c>
      <c r="F410" s="21">
        <f t="shared" si="70"/>
        <v>4000</v>
      </c>
      <c r="G410" s="21">
        <f t="shared" si="71"/>
        <v>4000</v>
      </c>
      <c r="H410" s="263"/>
      <c r="I410" s="263">
        <v>4000</v>
      </c>
      <c r="J410" s="263"/>
      <c r="K410" s="263"/>
      <c r="L410" s="263"/>
      <c r="M410" s="263"/>
      <c r="N410" s="263"/>
      <c r="O410" s="263"/>
    </row>
    <row r="411" spans="1:15" ht="12.75">
      <c r="A411" s="509"/>
      <c r="B411" s="607">
        <v>85228</v>
      </c>
      <c r="C411" s="607"/>
      <c r="D411" s="607" t="s">
        <v>42</v>
      </c>
      <c r="E411" s="26">
        <f t="shared" si="69"/>
        <v>279200</v>
      </c>
      <c r="F411" s="26">
        <f t="shared" si="70"/>
        <v>279200</v>
      </c>
      <c r="G411" s="26">
        <f t="shared" si="71"/>
        <v>270200</v>
      </c>
      <c r="H411" s="29">
        <f aca="true" t="shared" si="77" ref="H411:O411">SUM(H412:H419)</f>
        <v>256900</v>
      </c>
      <c r="I411" s="29">
        <f t="shared" si="77"/>
        <v>13300</v>
      </c>
      <c r="J411" s="29">
        <f t="shared" si="77"/>
        <v>0</v>
      </c>
      <c r="K411" s="29">
        <f t="shared" si="77"/>
        <v>9000</v>
      </c>
      <c r="L411" s="29">
        <f t="shared" si="77"/>
        <v>0</v>
      </c>
      <c r="M411" s="29">
        <f t="shared" si="77"/>
        <v>0</v>
      </c>
      <c r="N411" s="29">
        <f t="shared" si="77"/>
        <v>0</v>
      </c>
      <c r="O411" s="29">
        <f t="shared" si="77"/>
        <v>0</v>
      </c>
    </row>
    <row r="412" spans="1:15" ht="12.75">
      <c r="A412" s="504"/>
      <c r="B412" s="608"/>
      <c r="C412" s="605">
        <v>3020</v>
      </c>
      <c r="D412" s="606" t="s">
        <v>401</v>
      </c>
      <c r="E412" s="21">
        <f t="shared" si="69"/>
        <v>9000</v>
      </c>
      <c r="F412" s="21">
        <f t="shared" si="70"/>
        <v>9000</v>
      </c>
      <c r="G412" s="21">
        <f t="shared" si="71"/>
        <v>0</v>
      </c>
      <c r="H412" s="263"/>
      <c r="I412" s="263"/>
      <c r="J412" s="263"/>
      <c r="K412" s="263">
        <v>9000</v>
      </c>
      <c r="L412" s="263"/>
      <c r="M412" s="263"/>
      <c r="N412" s="263"/>
      <c r="O412" s="263"/>
    </row>
    <row r="413" spans="1:15" ht="12.75">
      <c r="A413" s="504"/>
      <c r="B413" s="609"/>
      <c r="C413" s="605">
        <v>4010</v>
      </c>
      <c r="D413" s="606" t="s">
        <v>395</v>
      </c>
      <c r="E413" s="21">
        <f t="shared" si="69"/>
        <v>202500</v>
      </c>
      <c r="F413" s="21">
        <f t="shared" si="70"/>
        <v>202500</v>
      </c>
      <c r="G413" s="21">
        <f t="shared" si="71"/>
        <v>202500</v>
      </c>
      <c r="H413" s="263">
        <v>202500</v>
      </c>
      <c r="I413" s="263"/>
      <c r="J413" s="263"/>
      <c r="K413" s="263"/>
      <c r="L413" s="263"/>
      <c r="M413" s="263"/>
      <c r="N413" s="263"/>
      <c r="O413" s="263"/>
    </row>
    <row r="414" spans="1:15" ht="12.75">
      <c r="A414" s="504"/>
      <c r="B414" s="609"/>
      <c r="C414" s="605">
        <v>4040</v>
      </c>
      <c r="D414" s="606" t="s">
        <v>399</v>
      </c>
      <c r="E414" s="21">
        <f t="shared" si="69"/>
        <v>16000</v>
      </c>
      <c r="F414" s="21">
        <f t="shared" si="70"/>
        <v>16000</v>
      </c>
      <c r="G414" s="21">
        <f t="shared" si="71"/>
        <v>16000</v>
      </c>
      <c r="H414" s="263">
        <v>16000</v>
      </c>
      <c r="I414" s="263"/>
      <c r="J414" s="263"/>
      <c r="K414" s="263"/>
      <c r="L414" s="263"/>
      <c r="M414" s="263"/>
      <c r="N414" s="263"/>
      <c r="O414" s="263"/>
    </row>
    <row r="415" spans="1:15" ht="12.75">
      <c r="A415" s="504"/>
      <c r="B415" s="609"/>
      <c r="C415" s="605">
        <v>4110</v>
      </c>
      <c r="D415" s="606" t="s">
        <v>396</v>
      </c>
      <c r="E415" s="21">
        <f t="shared" si="69"/>
        <v>33100</v>
      </c>
      <c r="F415" s="21">
        <f t="shared" si="70"/>
        <v>33100</v>
      </c>
      <c r="G415" s="21">
        <f t="shared" si="71"/>
        <v>33100</v>
      </c>
      <c r="H415" s="263">
        <v>33100</v>
      </c>
      <c r="I415" s="263"/>
      <c r="J415" s="263"/>
      <c r="K415" s="263"/>
      <c r="L415" s="263"/>
      <c r="M415" s="263"/>
      <c r="N415" s="263"/>
      <c r="O415" s="263"/>
    </row>
    <row r="416" spans="1:15" ht="12.75">
      <c r="A416" s="504"/>
      <c r="B416" s="609"/>
      <c r="C416" s="605">
        <v>4120</v>
      </c>
      <c r="D416" s="606" t="s">
        <v>397</v>
      </c>
      <c r="E416" s="21">
        <f t="shared" si="69"/>
        <v>5300</v>
      </c>
      <c r="F416" s="21">
        <f t="shared" si="70"/>
        <v>5300</v>
      </c>
      <c r="G416" s="21">
        <f t="shared" si="71"/>
        <v>5300</v>
      </c>
      <c r="H416" s="263">
        <v>5300</v>
      </c>
      <c r="I416" s="263"/>
      <c r="J416" s="263"/>
      <c r="K416" s="263"/>
      <c r="L416" s="263"/>
      <c r="M416" s="263"/>
      <c r="N416" s="263"/>
      <c r="O416" s="263"/>
    </row>
    <row r="417" spans="1:15" ht="12.75">
      <c r="A417" s="504"/>
      <c r="B417" s="609"/>
      <c r="C417" s="605">
        <v>4280</v>
      </c>
      <c r="D417" s="606" t="s">
        <v>414</v>
      </c>
      <c r="E417" s="21">
        <f t="shared" si="69"/>
        <v>1000</v>
      </c>
      <c r="F417" s="21">
        <f t="shared" si="70"/>
        <v>1000</v>
      </c>
      <c r="G417" s="21">
        <f t="shared" si="71"/>
        <v>1000</v>
      </c>
      <c r="H417" s="263"/>
      <c r="I417" s="263">
        <v>1000</v>
      </c>
      <c r="J417" s="263"/>
      <c r="K417" s="263"/>
      <c r="L417" s="263"/>
      <c r="M417" s="263"/>
      <c r="N417" s="263"/>
      <c r="O417" s="263"/>
    </row>
    <row r="418" spans="1:15" ht="12.75">
      <c r="A418" s="504"/>
      <c r="B418" s="609"/>
      <c r="C418" s="605">
        <v>4410</v>
      </c>
      <c r="D418" s="606" t="s">
        <v>404</v>
      </c>
      <c r="E418" s="21">
        <f t="shared" si="69"/>
        <v>1000</v>
      </c>
      <c r="F418" s="21">
        <f t="shared" si="70"/>
        <v>1000</v>
      </c>
      <c r="G418" s="21">
        <f t="shared" si="71"/>
        <v>1000</v>
      </c>
      <c r="H418" s="263"/>
      <c r="I418" s="263">
        <v>1000</v>
      </c>
      <c r="J418" s="263"/>
      <c r="K418" s="263"/>
      <c r="L418" s="263"/>
      <c r="M418" s="263"/>
      <c r="N418" s="263"/>
      <c r="O418" s="263"/>
    </row>
    <row r="419" spans="1:15" ht="12.75">
      <c r="A419" s="504"/>
      <c r="B419" s="609"/>
      <c r="C419" s="605">
        <v>4440</v>
      </c>
      <c r="D419" s="606" t="s">
        <v>416</v>
      </c>
      <c r="E419" s="21">
        <f t="shared" si="69"/>
        <v>11300</v>
      </c>
      <c r="F419" s="21">
        <f t="shared" si="70"/>
        <v>11300</v>
      </c>
      <c r="G419" s="21">
        <f t="shared" si="71"/>
        <v>11300</v>
      </c>
      <c r="H419" s="263"/>
      <c r="I419" s="263">
        <v>11300</v>
      </c>
      <c r="J419" s="263"/>
      <c r="K419" s="263"/>
      <c r="L419" s="263"/>
      <c r="M419" s="263"/>
      <c r="N419" s="263"/>
      <c r="O419" s="263"/>
    </row>
    <row r="420" spans="1:15" ht="12.75">
      <c r="A420" s="509"/>
      <c r="B420" s="505">
        <v>85295</v>
      </c>
      <c r="C420" s="508"/>
      <c r="D420" s="520" t="s">
        <v>90</v>
      </c>
      <c r="E420" s="26">
        <f t="shared" si="69"/>
        <v>602500</v>
      </c>
      <c r="F420" s="26">
        <f t="shared" si="70"/>
        <v>602500</v>
      </c>
      <c r="G420" s="26">
        <f t="shared" si="71"/>
        <v>190900</v>
      </c>
      <c r="H420" s="529">
        <f aca="true" t="shared" si="78" ref="H420:O420">SUM(H421:H436)</f>
        <v>63800</v>
      </c>
      <c r="I420" s="529">
        <f t="shared" si="78"/>
        <v>127100</v>
      </c>
      <c r="J420" s="529">
        <f t="shared" si="78"/>
        <v>0</v>
      </c>
      <c r="K420" s="529">
        <f t="shared" si="78"/>
        <v>411600</v>
      </c>
      <c r="L420" s="529">
        <f t="shared" si="78"/>
        <v>0</v>
      </c>
      <c r="M420" s="529">
        <f t="shared" si="78"/>
        <v>0</v>
      </c>
      <c r="N420" s="529">
        <f t="shared" si="78"/>
        <v>0</v>
      </c>
      <c r="O420" s="529">
        <f t="shared" si="78"/>
        <v>0</v>
      </c>
    </row>
    <row r="421" spans="1:15" ht="12.75">
      <c r="A421" s="509"/>
      <c r="B421" s="505"/>
      <c r="C421" s="507">
        <v>3020</v>
      </c>
      <c r="D421" s="14" t="s">
        <v>401</v>
      </c>
      <c r="E421" s="21">
        <f t="shared" si="69"/>
        <v>1600</v>
      </c>
      <c r="F421" s="21">
        <f t="shared" si="70"/>
        <v>1600</v>
      </c>
      <c r="G421" s="21">
        <f t="shared" si="71"/>
        <v>0</v>
      </c>
      <c r="H421" s="263"/>
      <c r="I421" s="263"/>
      <c r="J421" s="263"/>
      <c r="K421" s="263">
        <f>6127-4527</f>
        <v>1600</v>
      </c>
      <c r="L421" s="263"/>
      <c r="M421" s="263"/>
      <c r="N421" s="263"/>
      <c r="O421" s="263"/>
    </row>
    <row r="422" spans="1:15" ht="12.75">
      <c r="A422" s="509"/>
      <c r="B422" s="505"/>
      <c r="C422" s="516">
        <v>3110</v>
      </c>
      <c r="D422" s="516" t="s">
        <v>413</v>
      </c>
      <c r="E422" s="21">
        <f t="shared" si="69"/>
        <v>410000</v>
      </c>
      <c r="F422" s="21">
        <f t="shared" si="70"/>
        <v>410000</v>
      </c>
      <c r="G422" s="21">
        <f t="shared" si="71"/>
        <v>0</v>
      </c>
      <c r="H422" s="263"/>
      <c r="I422" s="263"/>
      <c r="J422" s="263"/>
      <c r="K422" s="263">
        <v>410000</v>
      </c>
      <c r="L422" s="263"/>
      <c r="M422" s="263"/>
      <c r="N422" s="263"/>
      <c r="O422" s="263"/>
    </row>
    <row r="423" spans="1:15" ht="12.75">
      <c r="A423" s="509"/>
      <c r="B423" s="505"/>
      <c r="C423" s="507">
        <v>4010</v>
      </c>
      <c r="D423" s="14" t="s">
        <v>395</v>
      </c>
      <c r="E423" s="21">
        <f t="shared" si="69"/>
        <v>49500</v>
      </c>
      <c r="F423" s="21">
        <f t="shared" si="70"/>
        <v>49500</v>
      </c>
      <c r="G423" s="21">
        <f t="shared" si="71"/>
        <v>49500</v>
      </c>
      <c r="H423" s="263">
        <f>360000-310500</f>
        <v>49500</v>
      </c>
      <c r="I423" s="263"/>
      <c r="J423" s="263"/>
      <c r="K423" s="263"/>
      <c r="L423" s="263"/>
      <c r="M423" s="263"/>
      <c r="N423" s="263"/>
      <c r="O423" s="263"/>
    </row>
    <row r="424" spans="1:15" ht="12.75">
      <c r="A424" s="509"/>
      <c r="B424" s="505"/>
      <c r="C424" s="507">
        <v>4040</v>
      </c>
      <c r="D424" s="14" t="s">
        <v>399</v>
      </c>
      <c r="E424" s="21">
        <f aca="true" t="shared" si="79" ref="E424:E452">SUM(F424+N424)</f>
        <v>3950</v>
      </c>
      <c r="F424" s="21">
        <f aca="true" t="shared" si="80" ref="F424:F452">SUM(J424:M424)+G424</f>
        <v>3950</v>
      </c>
      <c r="G424" s="21">
        <f aca="true" t="shared" si="81" ref="G424:G452">SUM(H424:I424)</f>
        <v>3950</v>
      </c>
      <c r="H424" s="263">
        <f>27650-23700</f>
        <v>3950</v>
      </c>
      <c r="I424" s="263"/>
      <c r="J424" s="263"/>
      <c r="K424" s="263"/>
      <c r="L424" s="263"/>
      <c r="M424" s="263"/>
      <c r="N424" s="263"/>
      <c r="O424" s="263"/>
    </row>
    <row r="425" spans="1:15" ht="12.75">
      <c r="A425" s="509"/>
      <c r="B425" s="505"/>
      <c r="C425" s="507">
        <v>4110</v>
      </c>
      <c r="D425" s="14" t="s">
        <v>396</v>
      </c>
      <c r="E425" s="21">
        <f t="shared" si="79"/>
        <v>8060</v>
      </c>
      <c r="F425" s="21">
        <f t="shared" si="80"/>
        <v>8060</v>
      </c>
      <c r="G425" s="21">
        <f t="shared" si="81"/>
        <v>8060</v>
      </c>
      <c r="H425" s="263">
        <f>60460-52400</f>
        <v>8060</v>
      </c>
      <c r="I425" s="263"/>
      <c r="J425" s="263"/>
      <c r="K425" s="263"/>
      <c r="L425" s="263"/>
      <c r="M425" s="263"/>
      <c r="N425" s="263"/>
      <c r="O425" s="263"/>
    </row>
    <row r="426" spans="1:15" ht="12.75">
      <c r="A426" s="509"/>
      <c r="B426" s="505"/>
      <c r="C426" s="507">
        <v>4120</v>
      </c>
      <c r="D426" s="14" t="s">
        <v>397</v>
      </c>
      <c r="E426" s="21">
        <f t="shared" si="79"/>
        <v>1290</v>
      </c>
      <c r="F426" s="21">
        <f t="shared" si="80"/>
        <v>1290</v>
      </c>
      <c r="G426" s="21">
        <f t="shared" si="81"/>
        <v>1290</v>
      </c>
      <c r="H426" s="263">
        <f>17990-16700</f>
        <v>1290</v>
      </c>
      <c r="I426" s="263"/>
      <c r="J426" s="263"/>
      <c r="K426" s="263"/>
      <c r="L426" s="263"/>
      <c r="M426" s="263"/>
      <c r="N426" s="263"/>
      <c r="O426" s="263"/>
    </row>
    <row r="427" spans="1:15" ht="12.75">
      <c r="A427" s="509"/>
      <c r="B427" s="505"/>
      <c r="C427" s="507">
        <v>4170</v>
      </c>
      <c r="D427" s="14" t="s">
        <v>402</v>
      </c>
      <c r="E427" s="21">
        <f t="shared" si="79"/>
        <v>1000</v>
      </c>
      <c r="F427" s="21">
        <f t="shared" si="80"/>
        <v>1000</v>
      </c>
      <c r="G427" s="21">
        <f t="shared" si="81"/>
        <v>1000</v>
      </c>
      <c r="H427" s="263">
        <f>12200-11200</f>
        <v>1000</v>
      </c>
      <c r="I427" s="263"/>
      <c r="J427" s="263"/>
      <c r="K427" s="263"/>
      <c r="L427" s="263"/>
      <c r="M427" s="263"/>
      <c r="N427" s="263"/>
      <c r="O427" s="263"/>
    </row>
    <row r="428" spans="1:15" ht="12.75">
      <c r="A428" s="509"/>
      <c r="B428" s="505"/>
      <c r="C428" s="507">
        <v>4210</v>
      </c>
      <c r="D428" s="14" t="s">
        <v>308</v>
      </c>
      <c r="E428" s="21">
        <f t="shared" si="79"/>
        <v>33500</v>
      </c>
      <c r="F428" s="21">
        <f t="shared" si="80"/>
        <v>33500</v>
      </c>
      <c r="G428" s="21">
        <f t="shared" si="81"/>
        <v>33500</v>
      </c>
      <c r="H428" s="263"/>
      <c r="I428" s="263">
        <f>90089-56589</f>
        <v>33500</v>
      </c>
      <c r="J428" s="263" t="s">
        <v>60</v>
      </c>
      <c r="K428" s="263"/>
      <c r="L428" s="263"/>
      <c r="M428" s="263"/>
      <c r="N428" s="263"/>
      <c r="O428" s="263"/>
    </row>
    <row r="429" spans="1:15" ht="12.75">
      <c r="A429" s="504"/>
      <c r="B429" s="506"/>
      <c r="C429" s="507">
        <v>4260</v>
      </c>
      <c r="D429" s="519" t="s">
        <v>408</v>
      </c>
      <c r="E429" s="21">
        <f t="shared" si="79"/>
        <v>10000</v>
      </c>
      <c r="F429" s="21">
        <f t="shared" si="80"/>
        <v>10000</v>
      </c>
      <c r="G429" s="21">
        <f t="shared" si="81"/>
        <v>10000</v>
      </c>
      <c r="H429" s="263"/>
      <c r="I429" s="263">
        <v>10000</v>
      </c>
      <c r="J429" s="263"/>
      <c r="K429" s="263"/>
      <c r="L429" s="263"/>
      <c r="M429" s="263"/>
      <c r="N429" s="263"/>
      <c r="O429" s="263"/>
    </row>
    <row r="430" spans="1:15" ht="12.75">
      <c r="A430" s="504"/>
      <c r="B430" s="506"/>
      <c r="C430" s="507">
        <v>4270</v>
      </c>
      <c r="D430" s="14" t="s">
        <v>299</v>
      </c>
      <c r="E430" s="21">
        <f t="shared" si="79"/>
        <v>7000</v>
      </c>
      <c r="F430" s="21">
        <f t="shared" si="80"/>
        <v>7000</v>
      </c>
      <c r="G430" s="21">
        <f t="shared" si="81"/>
        <v>7000</v>
      </c>
      <c r="H430" s="263"/>
      <c r="I430" s="263">
        <v>7000</v>
      </c>
      <c r="J430" s="263"/>
      <c r="K430" s="263"/>
      <c r="L430" s="263"/>
      <c r="M430" s="263"/>
      <c r="N430" s="263"/>
      <c r="O430" s="263"/>
    </row>
    <row r="431" spans="1:15" ht="12.75">
      <c r="A431" s="504"/>
      <c r="B431" s="506"/>
      <c r="C431" s="507">
        <v>4280</v>
      </c>
      <c r="D431" s="14" t="s">
        <v>414</v>
      </c>
      <c r="E431" s="21">
        <f t="shared" si="79"/>
        <v>600</v>
      </c>
      <c r="F431" s="21">
        <f t="shared" si="80"/>
        <v>600</v>
      </c>
      <c r="G431" s="21">
        <f t="shared" si="81"/>
        <v>600</v>
      </c>
      <c r="H431" s="263"/>
      <c r="I431" s="263">
        <f>10250-9650</f>
        <v>600</v>
      </c>
      <c r="J431" s="263"/>
      <c r="K431" s="263"/>
      <c r="L431" s="263"/>
      <c r="M431" s="263"/>
      <c r="N431" s="263"/>
      <c r="O431" s="263"/>
    </row>
    <row r="432" spans="1:15" ht="12.75">
      <c r="A432" s="504"/>
      <c r="B432" s="506"/>
      <c r="C432" s="507">
        <v>4300</v>
      </c>
      <c r="D432" s="14" t="s">
        <v>318</v>
      </c>
      <c r="E432" s="21">
        <f t="shared" si="79"/>
        <v>70000</v>
      </c>
      <c r="F432" s="21">
        <f t="shared" si="80"/>
        <v>70000</v>
      </c>
      <c r="G432" s="21">
        <f t="shared" si="81"/>
        <v>70000</v>
      </c>
      <c r="H432" s="263"/>
      <c r="I432" s="263">
        <f>431000-361000</f>
        <v>70000</v>
      </c>
      <c r="J432" s="263"/>
      <c r="K432" s="263"/>
      <c r="L432" s="263"/>
      <c r="M432" s="263"/>
      <c r="N432" s="263"/>
      <c r="O432" s="263"/>
    </row>
    <row r="433" spans="1:15" ht="12.75">
      <c r="A433" s="504"/>
      <c r="B433" s="506"/>
      <c r="C433" s="507">
        <v>4410</v>
      </c>
      <c r="D433" s="14" t="s">
        <v>404</v>
      </c>
      <c r="E433" s="21">
        <f t="shared" si="79"/>
        <v>2000</v>
      </c>
      <c r="F433" s="21">
        <f t="shared" si="80"/>
        <v>2000</v>
      </c>
      <c r="G433" s="21">
        <f t="shared" si="81"/>
        <v>2000</v>
      </c>
      <c r="H433" s="263"/>
      <c r="I433" s="263">
        <f>7510-5510</f>
        <v>2000</v>
      </c>
      <c r="J433" s="263"/>
      <c r="K433" s="263"/>
      <c r="L433" s="263"/>
      <c r="M433" s="263"/>
      <c r="N433" s="263"/>
      <c r="O433" s="263"/>
    </row>
    <row r="434" spans="1:15" ht="12.75">
      <c r="A434" s="504"/>
      <c r="B434" s="506"/>
      <c r="C434" s="516">
        <v>4430</v>
      </c>
      <c r="D434" s="516" t="s">
        <v>398</v>
      </c>
      <c r="E434" s="21">
        <f t="shared" si="79"/>
        <v>500</v>
      </c>
      <c r="F434" s="21">
        <f t="shared" si="80"/>
        <v>500</v>
      </c>
      <c r="G434" s="21">
        <f t="shared" si="81"/>
        <v>500</v>
      </c>
      <c r="H434" s="263"/>
      <c r="I434" s="263">
        <v>500</v>
      </c>
      <c r="J434" s="263"/>
      <c r="K434" s="263"/>
      <c r="L434" s="263"/>
      <c r="M434" s="263"/>
      <c r="N434" s="263"/>
      <c r="O434" s="263"/>
    </row>
    <row r="435" spans="1:15" ht="12.75">
      <c r="A435" s="504"/>
      <c r="B435" s="506"/>
      <c r="C435" s="507">
        <v>4440</v>
      </c>
      <c r="D435" s="14" t="s">
        <v>416</v>
      </c>
      <c r="E435" s="21">
        <f t="shared" si="79"/>
        <v>2500</v>
      </c>
      <c r="F435" s="21">
        <f t="shared" si="80"/>
        <v>2500</v>
      </c>
      <c r="G435" s="21">
        <f t="shared" si="81"/>
        <v>2500</v>
      </c>
      <c r="H435" s="263"/>
      <c r="I435" s="263">
        <f>11750-9250</f>
        <v>2500</v>
      </c>
      <c r="J435" s="263"/>
      <c r="K435" s="263"/>
      <c r="L435" s="263"/>
      <c r="M435" s="263"/>
      <c r="N435" s="263"/>
      <c r="O435" s="263"/>
    </row>
    <row r="436" spans="1:15" ht="22.5">
      <c r="A436" s="504"/>
      <c r="B436" s="506"/>
      <c r="C436" s="507">
        <v>4700</v>
      </c>
      <c r="D436" s="14" t="s">
        <v>319</v>
      </c>
      <c r="E436" s="21">
        <f t="shared" si="79"/>
        <v>1000</v>
      </c>
      <c r="F436" s="21">
        <f t="shared" si="80"/>
        <v>1000</v>
      </c>
      <c r="G436" s="21">
        <f t="shared" si="81"/>
        <v>1000</v>
      </c>
      <c r="H436" s="263"/>
      <c r="I436" s="263">
        <v>1000</v>
      </c>
      <c r="J436" s="263"/>
      <c r="K436" s="263"/>
      <c r="L436" s="263"/>
      <c r="M436" s="263"/>
      <c r="N436" s="263"/>
      <c r="O436" s="263"/>
    </row>
    <row r="437" spans="1:15" ht="22.5">
      <c r="A437" s="523">
        <v>853</v>
      </c>
      <c r="B437" s="527"/>
      <c r="C437" s="507"/>
      <c r="D437" s="387" t="s">
        <v>43</v>
      </c>
      <c r="E437" s="26">
        <f t="shared" si="79"/>
        <v>188514</v>
      </c>
      <c r="F437" s="26">
        <f t="shared" si="80"/>
        <v>188514</v>
      </c>
      <c r="G437" s="26">
        <f t="shared" si="81"/>
        <v>151611</v>
      </c>
      <c r="H437" s="29">
        <f aca="true" t="shared" si="82" ref="H437:O437">SUM(H438+H451)</f>
        <v>120744</v>
      </c>
      <c r="I437" s="29">
        <f t="shared" si="82"/>
        <v>30867</v>
      </c>
      <c r="J437" s="29">
        <f t="shared" si="82"/>
        <v>0</v>
      </c>
      <c r="K437" s="29">
        <f t="shared" si="82"/>
        <v>1053</v>
      </c>
      <c r="L437" s="29">
        <f t="shared" si="82"/>
        <v>35850</v>
      </c>
      <c r="M437" s="29">
        <f t="shared" si="82"/>
        <v>0</v>
      </c>
      <c r="N437" s="29">
        <f t="shared" si="82"/>
        <v>0</v>
      </c>
      <c r="O437" s="29">
        <f t="shared" si="82"/>
        <v>0</v>
      </c>
    </row>
    <row r="438" spans="1:15" ht="12.75">
      <c r="A438" s="514"/>
      <c r="B438" s="382">
        <v>85305</v>
      </c>
      <c r="C438" s="517"/>
      <c r="D438" s="517" t="s">
        <v>186</v>
      </c>
      <c r="E438" s="26">
        <f t="shared" si="79"/>
        <v>151664</v>
      </c>
      <c r="F438" s="26">
        <f t="shared" si="80"/>
        <v>151664</v>
      </c>
      <c r="G438" s="26">
        <f t="shared" si="81"/>
        <v>150611</v>
      </c>
      <c r="H438" s="522">
        <f aca="true" t="shared" si="83" ref="H438:O438">SUM(H439:H450)</f>
        <v>120744</v>
      </c>
      <c r="I438" s="522">
        <f t="shared" si="83"/>
        <v>29867</v>
      </c>
      <c r="J438" s="522">
        <f t="shared" si="83"/>
        <v>0</v>
      </c>
      <c r="K438" s="522">
        <f t="shared" si="83"/>
        <v>1053</v>
      </c>
      <c r="L438" s="522">
        <f t="shared" si="83"/>
        <v>0</v>
      </c>
      <c r="M438" s="522">
        <f t="shared" si="83"/>
        <v>0</v>
      </c>
      <c r="N438" s="522">
        <f t="shared" si="83"/>
        <v>0</v>
      </c>
      <c r="O438" s="522">
        <f t="shared" si="83"/>
        <v>0</v>
      </c>
    </row>
    <row r="439" spans="1:15" ht="12.75">
      <c r="A439" s="514"/>
      <c r="B439" s="200"/>
      <c r="C439" s="507">
        <v>3020</v>
      </c>
      <c r="D439" s="14" t="s">
        <v>401</v>
      </c>
      <c r="E439" s="21">
        <f t="shared" si="79"/>
        <v>1053</v>
      </c>
      <c r="F439" s="21">
        <f t="shared" si="80"/>
        <v>1053</v>
      </c>
      <c r="G439" s="21">
        <f t="shared" si="81"/>
        <v>0</v>
      </c>
      <c r="H439" s="263"/>
      <c r="I439" s="263"/>
      <c r="J439" s="263"/>
      <c r="K439" s="263">
        <v>1053</v>
      </c>
      <c r="L439" s="263"/>
      <c r="M439" s="263"/>
      <c r="N439" s="263"/>
      <c r="O439" s="263"/>
    </row>
    <row r="440" spans="1:15" ht="12.75">
      <c r="A440" s="514"/>
      <c r="B440" s="200"/>
      <c r="C440" s="507">
        <v>4010</v>
      </c>
      <c r="D440" s="14" t="s">
        <v>395</v>
      </c>
      <c r="E440" s="21">
        <f t="shared" si="79"/>
        <v>94089</v>
      </c>
      <c r="F440" s="21">
        <f t="shared" si="80"/>
        <v>94089</v>
      </c>
      <c r="G440" s="21">
        <f t="shared" si="81"/>
        <v>94089</v>
      </c>
      <c r="H440" s="263">
        <v>94089</v>
      </c>
      <c r="I440" s="263"/>
      <c r="J440" s="263"/>
      <c r="K440" s="263"/>
      <c r="L440" s="263"/>
      <c r="M440" s="263"/>
      <c r="N440" s="263"/>
      <c r="O440" s="263"/>
    </row>
    <row r="441" spans="1:15" ht="12.75">
      <c r="A441" s="514"/>
      <c r="B441" s="200"/>
      <c r="C441" s="507">
        <v>4040</v>
      </c>
      <c r="D441" s="14" t="s">
        <v>399</v>
      </c>
      <c r="E441" s="21">
        <f t="shared" si="79"/>
        <v>8700</v>
      </c>
      <c r="F441" s="21">
        <f t="shared" si="80"/>
        <v>8700</v>
      </c>
      <c r="G441" s="21">
        <f t="shared" si="81"/>
        <v>8700</v>
      </c>
      <c r="H441" s="263">
        <v>8700</v>
      </c>
      <c r="I441" s="263"/>
      <c r="J441" s="263"/>
      <c r="K441" s="263"/>
      <c r="L441" s="263"/>
      <c r="M441" s="263"/>
      <c r="N441" s="263"/>
      <c r="O441" s="263"/>
    </row>
    <row r="442" spans="1:15" ht="12.75">
      <c r="A442" s="514"/>
      <c r="B442" s="200"/>
      <c r="C442" s="507">
        <v>4110</v>
      </c>
      <c r="D442" s="14" t="s">
        <v>396</v>
      </c>
      <c r="E442" s="21">
        <f t="shared" si="79"/>
        <v>15462</v>
      </c>
      <c r="F442" s="21">
        <f t="shared" si="80"/>
        <v>15462</v>
      </c>
      <c r="G442" s="21">
        <f t="shared" si="81"/>
        <v>15462</v>
      </c>
      <c r="H442" s="263">
        <v>15462</v>
      </c>
      <c r="I442" s="263"/>
      <c r="J442" s="263"/>
      <c r="K442" s="263"/>
      <c r="L442" s="263"/>
      <c r="M442" s="263"/>
      <c r="N442" s="263"/>
      <c r="O442" s="263"/>
    </row>
    <row r="443" spans="1:15" ht="12.75">
      <c r="A443" s="514"/>
      <c r="B443" s="200"/>
      <c r="C443" s="507">
        <v>4120</v>
      </c>
      <c r="D443" s="14" t="s">
        <v>397</v>
      </c>
      <c r="E443" s="21">
        <f t="shared" si="79"/>
        <v>2493</v>
      </c>
      <c r="F443" s="21">
        <f t="shared" si="80"/>
        <v>2493</v>
      </c>
      <c r="G443" s="21">
        <f t="shared" si="81"/>
        <v>2493</v>
      </c>
      <c r="H443" s="263">
        <v>2493</v>
      </c>
      <c r="I443" s="263"/>
      <c r="J443" s="263"/>
      <c r="K443" s="263"/>
      <c r="L443" s="263"/>
      <c r="M443" s="263"/>
      <c r="N443" s="263"/>
      <c r="O443" s="263"/>
    </row>
    <row r="444" spans="1:15" ht="12.75">
      <c r="A444" s="514"/>
      <c r="B444" s="200"/>
      <c r="C444" s="507">
        <v>4210</v>
      </c>
      <c r="D444" s="14" t="s">
        <v>308</v>
      </c>
      <c r="E444" s="21">
        <f t="shared" si="79"/>
        <v>8380</v>
      </c>
      <c r="F444" s="21">
        <f t="shared" si="80"/>
        <v>8380</v>
      </c>
      <c r="G444" s="21">
        <f t="shared" si="81"/>
        <v>8380</v>
      </c>
      <c r="H444" s="263">
        <v>0</v>
      </c>
      <c r="I444" s="263">
        <v>8380</v>
      </c>
      <c r="J444" s="263"/>
      <c r="K444" s="263"/>
      <c r="L444" s="263"/>
      <c r="M444" s="263"/>
      <c r="N444" s="263"/>
      <c r="O444" s="263"/>
    </row>
    <row r="445" spans="1:15" ht="12.75">
      <c r="A445" s="514"/>
      <c r="B445" s="200"/>
      <c r="C445" s="516">
        <v>4240</v>
      </c>
      <c r="D445" s="516" t="s">
        <v>28</v>
      </c>
      <c r="E445" s="21">
        <f t="shared" si="79"/>
        <v>1535</v>
      </c>
      <c r="F445" s="21">
        <f t="shared" si="80"/>
        <v>1535</v>
      </c>
      <c r="G445" s="21">
        <f t="shared" si="81"/>
        <v>1535</v>
      </c>
      <c r="H445" s="263"/>
      <c r="I445" s="263">
        <v>1535</v>
      </c>
      <c r="J445" s="263"/>
      <c r="K445" s="263"/>
      <c r="L445" s="263"/>
      <c r="M445" s="263"/>
      <c r="N445" s="263"/>
      <c r="O445" s="263"/>
    </row>
    <row r="446" spans="1:15" ht="12.75">
      <c r="A446" s="514"/>
      <c r="B446" s="200"/>
      <c r="C446" s="507">
        <v>4260</v>
      </c>
      <c r="D446" s="14" t="s">
        <v>408</v>
      </c>
      <c r="E446" s="21">
        <f t="shared" si="79"/>
        <v>12276</v>
      </c>
      <c r="F446" s="21">
        <f t="shared" si="80"/>
        <v>12276</v>
      </c>
      <c r="G446" s="21">
        <f t="shared" si="81"/>
        <v>12276</v>
      </c>
      <c r="H446" s="263"/>
      <c r="I446" s="263">
        <v>12276</v>
      </c>
      <c r="J446" s="263"/>
      <c r="K446" s="263"/>
      <c r="L446" s="263"/>
      <c r="M446" s="263"/>
      <c r="N446" s="263"/>
      <c r="O446" s="263"/>
    </row>
    <row r="447" spans="1:15" ht="12.75">
      <c r="A447" s="514"/>
      <c r="B447" s="200"/>
      <c r="C447" s="507">
        <v>4270</v>
      </c>
      <c r="D447" s="14" t="s">
        <v>299</v>
      </c>
      <c r="E447" s="21">
        <f t="shared" si="79"/>
        <v>1637</v>
      </c>
      <c r="F447" s="21">
        <f t="shared" si="80"/>
        <v>1637</v>
      </c>
      <c r="G447" s="21">
        <f t="shared" si="81"/>
        <v>1637</v>
      </c>
      <c r="H447" s="263"/>
      <c r="I447" s="263">
        <v>1637</v>
      </c>
      <c r="J447" s="263"/>
      <c r="K447" s="263"/>
      <c r="L447" s="263"/>
      <c r="M447" s="263"/>
      <c r="N447" s="263"/>
      <c r="O447" s="263"/>
    </row>
    <row r="448" spans="1:15" ht="12.75">
      <c r="A448" s="514"/>
      <c r="B448" s="200"/>
      <c r="C448" s="507">
        <v>4280</v>
      </c>
      <c r="D448" s="14" t="s">
        <v>414</v>
      </c>
      <c r="E448" s="21">
        <f t="shared" si="79"/>
        <v>153</v>
      </c>
      <c r="F448" s="21">
        <f t="shared" si="80"/>
        <v>153</v>
      </c>
      <c r="G448" s="21">
        <f t="shared" si="81"/>
        <v>153</v>
      </c>
      <c r="H448" s="263"/>
      <c r="I448" s="263">
        <v>153</v>
      </c>
      <c r="J448" s="263"/>
      <c r="K448" s="263"/>
      <c r="L448" s="263"/>
      <c r="M448" s="263"/>
      <c r="N448" s="263"/>
      <c r="O448" s="263"/>
    </row>
    <row r="449" spans="1:15" ht="12.75">
      <c r="A449" s="514"/>
      <c r="B449" s="200"/>
      <c r="C449" s="507">
        <v>4300</v>
      </c>
      <c r="D449" s="14" t="s">
        <v>318</v>
      </c>
      <c r="E449" s="21">
        <f t="shared" si="79"/>
        <v>1599</v>
      </c>
      <c r="F449" s="21">
        <f t="shared" si="80"/>
        <v>1599</v>
      </c>
      <c r="G449" s="21">
        <f t="shared" si="81"/>
        <v>1599</v>
      </c>
      <c r="H449" s="263"/>
      <c r="I449" s="263">
        <v>1599</v>
      </c>
      <c r="J449" s="263"/>
      <c r="K449" s="263" t="s">
        <v>60</v>
      </c>
      <c r="L449" s="263"/>
      <c r="M449" s="263"/>
      <c r="N449" s="263"/>
      <c r="O449" s="263"/>
    </row>
    <row r="450" spans="1:15" ht="12.75">
      <c r="A450" s="514"/>
      <c r="B450" s="10"/>
      <c r="C450" s="507">
        <v>4440</v>
      </c>
      <c r="D450" s="14" t="s">
        <v>416</v>
      </c>
      <c r="E450" s="21">
        <f t="shared" si="79"/>
        <v>4287</v>
      </c>
      <c r="F450" s="21">
        <f t="shared" si="80"/>
        <v>4287</v>
      </c>
      <c r="G450" s="21">
        <f t="shared" si="81"/>
        <v>4287</v>
      </c>
      <c r="H450" s="263"/>
      <c r="I450" s="263">
        <v>4287</v>
      </c>
      <c r="J450" s="263"/>
      <c r="K450" s="263"/>
      <c r="L450" s="263"/>
      <c r="M450" s="263"/>
      <c r="N450" s="263"/>
      <c r="O450" s="263"/>
    </row>
    <row r="451" spans="1:15" ht="22.5">
      <c r="A451" s="504"/>
      <c r="B451" s="505">
        <v>85311</v>
      </c>
      <c r="C451" s="507"/>
      <c r="D451" s="387" t="s">
        <v>44</v>
      </c>
      <c r="E451" s="26">
        <f t="shared" si="79"/>
        <v>36850</v>
      </c>
      <c r="F451" s="26">
        <f t="shared" si="80"/>
        <v>36850</v>
      </c>
      <c r="G451" s="26">
        <f t="shared" si="81"/>
        <v>1000</v>
      </c>
      <c r="H451" s="29">
        <f aca="true" t="shared" si="84" ref="H451:O451">SUM(H452:H453)</f>
        <v>0</v>
      </c>
      <c r="I451" s="29">
        <f t="shared" si="84"/>
        <v>1000</v>
      </c>
      <c r="J451" s="29">
        <f t="shared" si="84"/>
        <v>0</v>
      </c>
      <c r="K451" s="29">
        <f t="shared" si="84"/>
        <v>0</v>
      </c>
      <c r="L451" s="29">
        <f t="shared" si="84"/>
        <v>35850</v>
      </c>
      <c r="M451" s="29">
        <f t="shared" si="84"/>
        <v>0</v>
      </c>
      <c r="N451" s="29">
        <f t="shared" si="84"/>
        <v>0</v>
      </c>
      <c r="O451" s="29">
        <f t="shared" si="84"/>
        <v>0</v>
      </c>
    </row>
    <row r="452" spans="1:15" ht="69.75" customHeight="1">
      <c r="A452" s="504"/>
      <c r="B452" s="506"/>
      <c r="C452" s="800">
        <v>2360</v>
      </c>
      <c r="D452" s="799" t="s">
        <v>545</v>
      </c>
      <c r="E452" s="21">
        <f t="shared" si="79"/>
        <v>35850</v>
      </c>
      <c r="F452" s="21">
        <f t="shared" si="80"/>
        <v>35850</v>
      </c>
      <c r="G452" s="21">
        <f t="shared" si="81"/>
        <v>0</v>
      </c>
      <c r="H452" s="263"/>
      <c r="I452" s="263"/>
      <c r="J452" s="263"/>
      <c r="K452" s="263"/>
      <c r="L452" s="263">
        <f>30750+5100</f>
        <v>35850</v>
      </c>
      <c r="M452" s="263"/>
      <c r="N452" s="263"/>
      <c r="O452" s="263"/>
    </row>
    <row r="453" spans="1:15" ht="12.75">
      <c r="A453" s="504"/>
      <c r="B453" s="506"/>
      <c r="C453" s="507">
        <v>4300</v>
      </c>
      <c r="D453" s="13" t="s">
        <v>318</v>
      </c>
      <c r="E453" s="21">
        <f aca="true" t="shared" si="85" ref="E453:E510">SUM(F453+N453)</f>
        <v>1000</v>
      </c>
      <c r="F453" s="21">
        <f aca="true" t="shared" si="86" ref="F453:F510">SUM(J453:M453)+G453</f>
        <v>1000</v>
      </c>
      <c r="G453" s="21">
        <f aca="true" t="shared" si="87" ref="G453:G510">SUM(H453:I453)</f>
        <v>1000</v>
      </c>
      <c r="H453" s="263"/>
      <c r="I453" s="263">
        <v>1000</v>
      </c>
      <c r="J453" s="263"/>
      <c r="K453" s="263"/>
      <c r="L453" s="263"/>
      <c r="M453" s="263"/>
      <c r="N453" s="263"/>
      <c r="O453" s="263"/>
    </row>
    <row r="454" spans="1:15" ht="12.75">
      <c r="A454" s="521">
        <v>854</v>
      </c>
      <c r="B454" s="521"/>
      <c r="C454" s="517"/>
      <c r="D454" s="517" t="s">
        <v>45</v>
      </c>
      <c r="E454" s="26">
        <f t="shared" si="85"/>
        <v>40340</v>
      </c>
      <c r="F454" s="26">
        <f t="shared" si="86"/>
        <v>40340</v>
      </c>
      <c r="G454" s="26">
        <f t="shared" si="87"/>
        <v>40340</v>
      </c>
      <c r="H454" s="522">
        <f aca="true" t="shared" si="88" ref="H454:N454">SUM(+H455)</f>
        <v>29307</v>
      </c>
      <c r="I454" s="522">
        <f t="shared" si="88"/>
        <v>11033</v>
      </c>
      <c r="J454" s="522">
        <f t="shared" si="88"/>
        <v>0</v>
      </c>
      <c r="K454" s="522">
        <f t="shared" si="88"/>
        <v>0</v>
      </c>
      <c r="L454" s="522">
        <f t="shared" si="88"/>
        <v>0</v>
      </c>
      <c r="M454" s="522">
        <f t="shared" si="88"/>
        <v>0</v>
      </c>
      <c r="N454" s="522">
        <f t="shared" si="88"/>
        <v>0</v>
      </c>
      <c r="O454" s="522">
        <f>SUM(+O455)</f>
        <v>0</v>
      </c>
    </row>
    <row r="455" spans="1:15" ht="12.75">
      <c r="A455" s="382"/>
      <c r="B455" s="382">
        <v>85404</v>
      </c>
      <c r="C455" s="517"/>
      <c r="D455" s="518" t="s">
        <v>187</v>
      </c>
      <c r="E455" s="26">
        <f t="shared" si="85"/>
        <v>40340</v>
      </c>
      <c r="F455" s="26">
        <f t="shared" si="86"/>
        <v>40340</v>
      </c>
      <c r="G455" s="26">
        <f t="shared" si="87"/>
        <v>40340</v>
      </c>
      <c r="H455" s="528">
        <f aca="true" t="shared" si="89" ref="H455:O455">SUM(H456:H461)</f>
        <v>29307</v>
      </c>
      <c r="I455" s="528">
        <f t="shared" si="89"/>
        <v>11033</v>
      </c>
      <c r="J455" s="528">
        <f t="shared" si="89"/>
        <v>0</v>
      </c>
      <c r="K455" s="528">
        <f t="shared" si="89"/>
        <v>0</v>
      </c>
      <c r="L455" s="528">
        <f t="shared" si="89"/>
        <v>0</v>
      </c>
      <c r="M455" s="528">
        <f t="shared" si="89"/>
        <v>0</v>
      </c>
      <c r="N455" s="528">
        <f t="shared" si="89"/>
        <v>0</v>
      </c>
      <c r="O455" s="528">
        <f t="shared" si="89"/>
        <v>0</v>
      </c>
    </row>
    <row r="456" spans="1:15" ht="12.75">
      <c r="A456" s="200"/>
      <c r="B456" s="200"/>
      <c r="C456" s="507">
        <v>4010</v>
      </c>
      <c r="D456" s="14" t="s">
        <v>395</v>
      </c>
      <c r="E456" s="21">
        <f t="shared" si="85"/>
        <v>16480</v>
      </c>
      <c r="F456" s="21">
        <f t="shared" si="86"/>
        <v>16480</v>
      </c>
      <c r="G456" s="21">
        <f t="shared" si="87"/>
        <v>16480</v>
      </c>
      <c r="H456" s="263">
        <v>16480</v>
      </c>
      <c r="I456" s="263"/>
      <c r="J456" s="263"/>
      <c r="K456" s="263"/>
      <c r="L456" s="263"/>
      <c r="M456" s="263"/>
      <c r="N456" s="263"/>
      <c r="O456" s="263"/>
    </row>
    <row r="457" spans="1:15" ht="12.75">
      <c r="A457" s="200"/>
      <c r="B457" s="200"/>
      <c r="C457" s="507">
        <v>4110</v>
      </c>
      <c r="D457" s="14" t="s">
        <v>396</v>
      </c>
      <c r="E457" s="21">
        <f t="shared" si="85"/>
        <v>2575</v>
      </c>
      <c r="F457" s="21">
        <f t="shared" si="86"/>
        <v>2575</v>
      </c>
      <c r="G457" s="21">
        <f t="shared" si="87"/>
        <v>2575</v>
      </c>
      <c r="H457" s="263">
        <v>2575</v>
      </c>
      <c r="I457" s="263"/>
      <c r="J457" s="263"/>
      <c r="K457" s="263"/>
      <c r="L457" s="263"/>
      <c r="M457" s="263"/>
      <c r="N457" s="263"/>
      <c r="O457" s="263"/>
    </row>
    <row r="458" spans="1:15" ht="12.75">
      <c r="A458" s="200"/>
      <c r="B458" s="200"/>
      <c r="C458" s="507">
        <v>4120</v>
      </c>
      <c r="D458" s="14" t="s">
        <v>397</v>
      </c>
      <c r="E458" s="21">
        <f t="shared" si="85"/>
        <v>412</v>
      </c>
      <c r="F458" s="21">
        <f t="shared" si="86"/>
        <v>412</v>
      </c>
      <c r="G458" s="21">
        <f t="shared" si="87"/>
        <v>412</v>
      </c>
      <c r="H458" s="263">
        <v>412</v>
      </c>
      <c r="I458" s="263"/>
      <c r="J458" s="263"/>
      <c r="K458" s="263"/>
      <c r="L458" s="263"/>
      <c r="M458" s="263"/>
      <c r="N458" s="263"/>
      <c r="O458" s="263"/>
    </row>
    <row r="459" spans="1:15" ht="12.75">
      <c r="A459" s="200"/>
      <c r="B459" s="200"/>
      <c r="C459" s="516">
        <v>4170</v>
      </c>
      <c r="D459" s="516" t="s">
        <v>402</v>
      </c>
      <c r="E459" s="21">
        <f t="shared" si="85"/>
        <v>9840</v>
      </c>
      <c r="F459" s="21">
        <f t="shared" si="86"/>
        <v>9840</v>
      </c>
      <c r="G459" s="21">
        <f t="shared" si="87"/>
        <v>9840</v>
      </c>
      <c r="H459" s="263">
        <v>9840</v>
      </c>
      <c r="I459" s="263"/>
      <c r="J459" s="263"/>
      <c r="K459" s="263"/>
      <c r="L459" s="263"/>
      <c r="M459" s="263"/>
      <c r="N459" s="263"/>
      <c r="O459" s="263"/>
    </row>
    <row r="460" spans="1:15" ht="12.75">
      <c r="A460" s="200"/>
      <c r="B460" s="200"/>
      <c r="C460" s="507">
        <v>4210</v>
      </c>
      <c r="D460" s="14" t="s">
        <v>308</v>
      </c>
      <c r="E460" s="21">
        <f t="shared" si="85"/>
        <v>8987</v>
      </c>
      <c r="F460" s="21">
        <f t="shared" si="86"/>
        <v>8987</v>
      </c>
      <c r="G460" s="21">
        <f t="shared" si="87"/>
        <v>8987</v>
      </c>
      <c r="H460" s="263"/>
      <c r="I460" s="263">
        <v>8987</v>
      </c>
      <c r="J460" s="263"/>
      <c r="K460" s="263"/>
      <c r="L460" s="263" t="s">
        <v>60</v>
      </c>
      <c r="M460" s="263"/>
      <c r="N460" s="263"/>
      <c r="O460" s="263"/>
    </row>
    <row r="461" spans="1:15" ht="12.75">
      <c r="A461" s="200"/>
      <c r="B461" s="200"/>
      <c r="C461" s="516">
        <v>4240</v>
      </c>
      <c r="D461" s="516" t="s">
        <v>28</v>
      </c>
      <c r="E461" s="21">
        <f t="shared" si="85"/>
        <v>2046</v>
      </c>
      <c r="F461" s="21">
        <f t="shared" si="86"/>
        <v>2046</v>
      </c>
      <c r="G461" s="21">
        <f t="shared" si="87"/>
        <v>2046</v>
      </c>
      <c r="H461" s="263"/>
      <c r="I461" s="263">
        <v>2046</v>
      </c>
      <c r="J461" s="263"/>
      <c r="K461" s="263"/>
      <c r="L461" s="263"/>
      <c r="M461" s="263"/>
      <c r="N461" s="263"/>
      <c r="O461" s="263"/>
    </row>
    <row r="462" spans="1:15" ht="22.5">
      <c r="A462" s="523">
        <v>900</v>
      </c>
      <c r="B462" s="524"/>
      <c r="C462" s="507"/>
      <c r="D462" s="387" t="s">
        <v>92</v>
      </c>
      <c r="E462" s="26">
        <f t="shared" si="85"/>
        <v>24037827.33</v>
      </c>
      <c r="F462" s="26">
        <f t="shared" si="86"/>
        <v>4545959.38</v>
      </c>
      <c r="G462" s="26">
        <f t="shared" si="87"/>
        <v>4500959.38</v>
      </c>
      <c r="H462" s="29">
        <f aca="true" t="shared" si="90" ref="H462:O462">SUM(H463+H467+H477+H480+H487+H493)</f>
        <v>928535</v>
      </c>
      <c r="I462" s="29">
        <f t="shared" si="90"/>
        <v>3572424.38</v>
      </c>
      <c r="J462" s="29">
        <f t="shared" si="90"/>
        <v>0</v>
      </c>
      <c r="K462" s="29">
        <f t="shared" si="90"/>
        <v>45000</v>
      </c>
      <c r="L462" s="29">
        <f t="shared" si="90"/>
        <v>0</v>
      </c>
      <c r="M462" s="29">
        <f t="shared" si="90"/>
        <v>0</v>
      </c>
      <c r="N462" s="29">
        <f t="shared" si="90"/>
        <v>19491867.95</v>
      </c>
      <c r="O462" s="29">
        <f t="shared" si="90"/>
        <v>19491867.95</v>
      </c>
    </row>
    <row r="463" spans="1:15" ht="12.75">
      <c r="A463" s="504"/>
      <c r="B463" s="505">
        <v>90001</v>
      </c>
      <c r="C463" s="508"/>
      <c r="D463" s="387" t="s">
        <v>188</v>
      </c>
      <c r="E463" s="26">
        <f t="shared" si="85"/>
        <v>2013929.9</v>
      </c>
      <c r="F463" s="26">
        <f t="shared" si="86"/>
        <v>0</v>
      </c>
      <c r="G463" s="26">
        <f t="shared" si="87"/>
        <v>0</v>
      </c>
      <c r="H463" s="29">
        <f aca="true" t="shared" si="91" ref="H463:M463">SUM(H465:H466)</f>
        <v>0</v>
      </c>
      <c r="I463" s="29">
        <f t="shared" si="91"/>
        <v>0</v>
      </c>
      <c r="J463" s="29">
        <f t="shared" si="91"/>
        <v>0</v>
      </c>
      <c r="K463" s="29">
        <f t="shared" si="91"/>
        <v>0</v>
      </c>
      <c r="L463" s="29">
        <f t="shared" si="91"/>
        <v>0</v>
      </c>
      <c r="M463" s="29">
        <f t="shared" si="91"/>
        <v>0</v>
      </c>
      <c r="N463" s="29">
        <f>SUM(N464:N466)</f>
        <v>2013929.9</v>
      </c>
      <c r="O463" s="29">
        <f>SUM(O464:O466)</f>
        <v>2013929.9</v>
      </c>
    </row>
    <row r="464" spans="1:15" ht="12.75">
      <c r="A464" s="504"/>
      <c r="B464" s="505"/>
      <c r="C464" s="510">
        <v>6050</v>
      </c>
      <c r="D464" s="14" t="s">
        <v>309</v>
      </c>
      <c r="E464" s="21">
        <f>SUM(F464+N464)</f>
        <v>302000</v>
      </c>
      <c r="F464" s="21">
        <f>SUM(J464:M464)+G464</f>
        <v>0</v>
      </c>
      <c r="G464" s="21">
        <f>SUM(H464:I464)</f>
        <v>0</v>
      </c>
      <c r="H464" s="29"/>
      <c r="I464" s="29"/>
      <c r="J464" s="29"/>
      <c r="K464" s="29"/>
      <c r="L464" s="29"/>
      <c r="M464" s="29"/>
      <c r="N464" s="604">
        <v>302000</v>
      </c>
      <c r="O464" s="604">
        <v>302000</v>
      </c>
    </row>
    <row r="465" spans="1:15" ht="12.75">
      <c r="A465" s="504"/>
      <c r="B465" s="506"/>
      <c r="C465" s="507">
        <v>6057</v>
      </c>
      <c r="D465" s="14" t="s">
        <v>309</v>
      </c>
      <c r="E465" s="21">
        <f t="shared" si="85"/>
        <v>1413026.94</v>
      </c>
      <c r="F465" s="21">
        <f t="shared" si="86"/>
        <v>0</v>
      </c>
      <c r="G465" s="21">
        <f t="shared" si="87"/>
        <v>0</v>
      </c>
      <c r="H465" s="263"/>
      <c r="I465" s="263"/>
      <c r="J465" s="263"/>
      <c r="K465" s="263"/>
      <c r="L465" s="263"/>
      <c r="M465" s="263"/>
      <c r="N465" s="263">
        <v>1413026.94</v>
      </c>
      <c r="O465" s="263">
        <v>1413026.94</v>
      </c>
    </row>
    <row r="466" spans="1:15" ht="12.75">
      <c r="A466" s="504"/>
      <c r="B466" s="506"/>
      <c r="C466" s="507">
        <v>6059</v>
      </c>
      <c r="D466" s="14" t="s">
        <v>309</v>
      </c>
      <c r="E466" s="21">
        <f t="shared" si="85"/>
        <v>298902.96</v>
      </c>
      <c r="F466" s="21">
        <f t="shared" si="86"/>
        <v>0</v>
      </c>
      <c r="G466" s="21">
        <f t="shared" si="87"/>
        <v>0</v>
      </c>
      <c r="H466" s="263"/>
      <c r="I466" s="263"/>
      <c r="J466" s="263"/>
      <c r="K466" s="263"/>
      <c r="L466" s="263"/>
      <c r="M466" s="263"/>
      <c r="N466" s="263">
        <v>298902.96</v>
      </c>
      <c r="O466" s="263">
        <v>298902.96</v>
      </c>
    </row>
    <row r="467" spans="1:15" ht="12.75">
      <c r="A467" s="504"/>
      <c r="B467" s="505">
        <v>90003</v>
      </c>
      <c r="C467" s="508"/>
      <c r="D467" s="513" t="s">
        <v>189</v>
      </c>
      <c r="E467" s="26">
        <f t="shared" si="85"/>
        <v>1440000</v>
      </c>
      <c r="F467" s="26">
        <f t="shared" si="86"/>
        <v>1440000</v>
      </c>
      <c r="G467" s="26">
        <f t="shared" si="87"/>
        <v>1420000</v>
      </c>
      <c r="H467" s="25">
        <f aca="true" t="shared" si="92" ref="H467:O467">SUM(H468:H476)</f>
        <v>835480</v>
      </c>
      <c r="I467" s="25">
        <f t="shared" si="92"/>
        <v>584520</v>
      </c>
      <c r="J467" s="25">
        <f t="shared" si="92"/>
        <v>0</v>
      </c>
      <c r="K467" s="25">
        <f t="shared" si="92"/>
        <v>20000</v>
      </c>
      <c r="L467" s="25">
        <f t="shared" si="92"/>
        <v>0</v>
      </c>
      <c r="M467" s="25">
        <f t="shared" si="92"/>
        <v>0</v>
      </c>
      <c r="N467" s="25">
        <f t="shared" si="92"/>
        <v>0</v>
      </c>
      <c r="O467" s="25">
        <f t="shared" si="92"/>
        <v>0</v>
      </c>
    </row>
    <row r="468" spans="1:15" ht="12.75">
      <c r="A468" s="504"/>
      <c r="B468" s="505"/>
      <c r="C468" s="507">
        <v>3020</v>
      </c>
      <c r="D468" s="13" t="s">
        <v>401</v>
      </c>
      <c r="E468" s="21">
        <f t="shared" si="85"/>
        <v>20000</v>
      </c>
      <c r="F468" s="21">
        <f t="shared" si="86"/>
        <v>20000</v>
      </c>
      <c r="G468" s="21">
        <f t="shared" si="87"/>
        <v>0</v>
      </c>
      <c r="H468" s="263">
        <v>0</v>
      </c>
      <c r="I468" s="263"/>
      <c r="J468" s="263"/>
      <c r="K468" s="263">
        <f>30000-10000</f>
        <v>20000</v>
      </c>
      <c r="L468" s="263"/>
      <c r="M468" s="263"/>
      <c r="N468" s="263"/>
      <c r="O468" s="263"/>
    </row>
    <row r="469" spans="1:15" ht="12.75">
      <c r="A469" s="504"/>
      <c r="B469" s="506"/>
      <c r="C469" s="507">
        <v>4010</v>
      </c>
      <c r="D469" s="13" t="s">
        <v>395</v>
      </c>
      <c r="E469" s="21">
        <f t="shared" si="85"/>
        <v>700000</v>
      </c>
      <c r="F469" s="21">
        <f t="shared" si="86"/>
        <v>700000</v>
      </c>
      <c r="G469" s="21">
        <f t="shared" si="87"/>
        <v>700000</v>
      </c>
      <c r="H469" s="263">
        <f>800000-100000</f>
        <v>700000</v>
      </c>
      <c r="I469" s="263"/>
      <c r="J469" s="263"/>
      <c r="K469" s="263"/>
      <c r="L469" s="263"/>
      <c r="M469" s="263"/>
      <c r="N469" s="263"/>
      <c r="O469" s="263"/>
    </row>
    <row r="470" spans="1:15" ht="12.75">
      <c r="A470" s="504"/>
      <c r="B470" s="506"/>
      <c r="C470" s="507">
        <v>4040</v>
      </c>
      <c r="D470" s="13" t="s">
        <v>399</v>
      </c>
      <c r="E470" s="21">
        <f t="shared" si="85"/>
        <v>0</v>
      </c>
      <c r="F470" s="21">
        <f t="shared" si="86"/>
        <v>0</v>
      </c>
      <c r="G470" s="21">
        <f t="shared" si="87"/>
        <v>0</v>
      </c>
      <c r="H470" s="263">
        <v>0</v>
      </c>
      <c r="I470" s="263"/>
      <c r="J470" s="263"/>
      <c r="K470" s="263"/>
      <c r="L470" s="263"/>
      <c r="M470" s="263"/>
      <c r="N470" s="263"/>
      <c r="O470" s="263"/>
    </row>
    <row r="471" spans="1:15" ht="12.75">
      <c r="A471" s="504"/>
      <c r="B471" s="506"/>
      <c r="C471" s="507">
        <v>4110</v>
      </c>
      <c r="D471" s="13" t="s">
        <v>396</v>
      </c>
      <c r="E471" s="21">
        <f t="shared" si="85"/>
        <v>106330</v>
      </c>
      <c r="F471" s="21">
        <f t="shared" si="86"/>
        <v>106330</v>
      </c>
      <c r="G471" s="21">
        <f t="shared" si="87"/>
        <v>106330</v>
      </c>
      <c r="H471" s="263">
        <v>106330</v>
      </c>
      <c r="I471" s="263"/>
      <c r="J471" s="263"/>
      <c r="K471" s="263"/>
      <c r="L471" s="263"/>
      <c r="M471" s="263"/>
      <c r="N471" s="263"/>
      <c r="O471" s="263"/>
    </row>
    <row r="472" spans="1:15" ht="12.75">
      <c r="A472" s="504"/>
      <c r="B472" s="506"/>
      <c r="C472" s="507">
        <v>4120</v>
      </c>
      <c r="D472" s="13" t="s">
        <v>400</v>
      </c>
      <c r="E472" s="21">
        <f t="shared" si="85"/>
        <v>17150</v>
      </c>
      <c r="F472" s="21">
        <f t="shared" si="86"/>
        <v>17150</v>
      </c>
      <c r="G472" s="21">
        <f t="shared" si="87"/>
        <v>17150</v>
      </c>
      <c r="H472" s="263">
        <v>17150</v>
      </c>
      <c r="I472" s="263"/>
      <c r="J472" s="263"/>
      <c r="K472" s="263"/>
      <c r="L472" s="263"/>
      <c r="M472" s="263"/>
      <c r="N472" s="263"/>
      <c r="O472" s="263"/>
    </row>
    <row r="473" spans="1:15" ht="12.75">
      <c r="A473" s="504"/>
      <c r="B473" s="506"/>
      <c r="C473" s="507">
        <v>4170</v>
      </c>
      <c r="D473" s="13" t="s">
        <v>402</v>
      </c>
      <c r="E473" s="21">
        <f t="shared" si="85"/>
        <v>12000</v>
      </c>
      <c r="F473" s="21">
        <f t="shared" si="86"/>
        <v>12000</v>
      </c>
      <c r="G473" s="21">
        <f t="shared" si="87"/>
        <v>12000</v>
      </c>
      <c r="H473" s="263">
        <v>12000</v>
      </c>
      <c r="I473" s="263">
        <v>0</v>
      </c>
      <c r="J473" s="263"/>
      <c r="K473" s="263"/>
      <c r="L473" s="263"/>
      <c r="M473" s="263"/>
      <c r="N473" s="263"/>
      <c r="O473" s="263"/>
    </row>
    <row r="474" spans="1:15" ht="12.75">
      <c r="A474" s="504"/>
      <c r="B474" s="506"/>
      <c r="C474" s="507">
        <v>4210</v>
      </c>
      <c r="D474" s="13" t="s">
        <v>308</v>
      </c>
      <c r="E474" s="21">
        <f t="shared" si="85"/>
        <v>47000</v>
      </c>
      <c r="F474" s="21">
        <f t="shared" si="86"/>
        <v>47000</v>
      </c>
      <c r="G474" s="21">
        <f t="shared" si="87"/>
        <v>47000</v>
      </c>
      <c r="H474" s="263"/>
      <c r="I474" s="263">
        <f>55000-8000</f>
        <v>47000</v>
      </c>
      <c r="J474" s="263"/>
      <c r="K474" s="263"/>
      <c r="L474" s="263"/>
      <c r="M474" s="263"/>
      <c r="N474" s="263"/>
      <c r="O474" s="263"/>
    </row>
    <row r="475" spans="1:15" ht="12.75">
      <c r="A475" s="504"/>
      <c r="B475" s="506"/>
      <c r="C475" s="507">
        <v>4280</v>
      </c>
      <c r="D475" s="13" t="s">
        <v>414</v>
      </c>
      <c r="E475" s="21">
        <f t="shared" si="85"/>
        <v>8520</v>
      </c>
      <c r="F475" s="21">
        <f t="shared" si="86"/>
        <v>8520</v>
      </c>
      <c r="G475" s="21">
        <f t="shared" si="87"/>
        <v>8520</v>
      </c>
      <c r="H475" s="263"/>
      <c r="I475" s="263">
        <f>18000-9480</f>
        <v>8520</v>
      </c>
      <c r="J475" s="263"/>
      <c r="K475" s="263"/>
      <c r="L475" s="263"/>
      <c r="M475" s="263"/>
      <c r="N475" s="263"/>
      <c r="O475" s="263"/>
    </row>
    <row r="476" spans="1:15" ht="12.75">
      <c r="A476" s="504"/>
      <c r="B476" s="506"/>
      <c r="C476" s="507">
        <v>4300</v>
      </c>
      <c r="D476" s="13" t="s">
        <v>318</v>
      </c>
      <c r="E476" s="21">
        <f t="shared" si="85"/>
        <v>529000</v>
      </c>
      <c r="F476" s="21">
        <f t="shared" si="86"/>
        <v>529000</v>
      </c>
      <c r="G476" s="21">
        <f t="shared" si="87"/>
        <v>529000</v>
      </c>
      <c r="H476" s="263"/>
      <c r="I476" s="263">
        <f>640000-61000-50000</f>
        <v>529000</v>
      </c>
      <c r="J476" s="263"/>
      <c r="K476" s="263"/>
      <c r="L476" s="263"/>
      <c r="M476" s="263"/>
      <c r="N476" s="263"/>
      <c r="O476" s="263"/>
    </row>
    <row r="477" spans="1:15" ht="12.75">
      <c r="A477" s="504"/>
      <c r="B477" s="505">
        <v>90004</v>
      </c>
      <c r="C477" s="508"/>
      <c r="D477" s="513" t="s">
        <v>190</v>
      </c>
      <c r="E477" s="26">
        <f t="shared" si="85"/>
        <v>103000</v>
      </c>
      <c r="F477" s="26">
        <f t="shared" si="86"/>
        <v>103000</v>
      </c>
      <c r="G477" s="26">
        <f t="shared" si="87"/>
        <v>103000</v>
      </c>
      <c r="H477" s="25">
        <f aca="true" t="shared" si="93" ref="H477:O477">SUM(H478:H479)</f>
        <v>0</v>
      </c>
      <c r="I477" s="25">
        <f t="shared" si="93"/>
        <v>103000</v>
      </c>
      <c r="J477" s="25">
        <f t="shared" si="93"/>
        <v>0</v>
      </c>
      <c r="K477" s="25">
        <f t="shared" si="93"/>
        <v>0</v>
      </c>
      <c r="L477" s="25">
        <f t="shared" si="93"/>
        <v>0</v>
      </c>
      <c r="M477" s="25">
        <f t="shared" si="93"/>
        <v>0</v>
      </c>
      <c r="N477" s="25">
        <f t="shared" si="93"/>
        <v>0</v>
      </c>
      <c r="O477" s="25">
        <f t="shared" si="93"/>
        <v>0</v>
      </c>
    </row>
    <row r="478" spans="1:15" ht="12.75">
      <c r="A478" s="504"/>
      <c r="B478" s="506"/>
      <c r="C478" s="507">
        <v>4210</v>
      </c>
      <c r="D478" s="13" t="s">
        <v>308</v>
      </c>
      <c r="E478" s="21">
        <f t="shared" si="85"/>
        <v>77000</v>
      </c>
      <c r="F478" s="21">
        <f t="shared" si="86"/>
        <v>77000</v>
      </c>
      <c r="G478" s="21">
        <f t="shared" si="87"/>
        <v>77000</v>
      </c>
      <c r="H478" s="263"/>
      <c r="I478" s="241">
        <v>77000</v>
      </c>
      <c r="J478" s="263"/>
      <c r="K478" s="263"/>
      <c r="L478" s="263"/>
      <c r="M478" s="263"/>
      <c r="N478" s="263"/>
      <c r="O478" s="263"/>
    </row>
    <row r="479" spans="1:15" ht="12.75">
      <c r="A479" s="504"/>
      <c r="B479" s="506"/>
      <c r="C479" s="507">
        <v>4300</v>
      </c>
      <c r="D479" s="13" t="s">
        <v>318</v>
      </c>
      <c r="E479" s="21">
        <f t="shared" si="85"/>
        <v>26000</v>
      </c>
      <c r="F479" s="21">
        <f t="shared" si="86"/>
        <v>26000</v>
      </c>
      <c r="G479" s="21">
        <f t="shared" si="87"/>
        <v>26000</v>
      </c>
      <c r="H479" s="263"/>
      <c r="I479" s="241">
        <v>26000</v>
      </c>
      <c r="J479" s="263"/>
      <c r="K479" s="263"/>
      <c r="L479" s="263"/>
      <c r="M479" s="263"/>
      <c r="N479" s="263"/>
      <c r="O479" s="263"/>
    </row>
    <row r="480" spans="1:15" ht="12.75">
      <c r="A480" s="504"/>
      <c r="B480" s="505">
        <v>90013</v>
      </c>
      <c r="C480" s="508"/>
      <c r="D480" s="513" t="s">
        <v>191</v>
      </c>
      <c r="E480" s="26">
        <f t="shared" si="85"/>
        <v>159955</v>
      </c>
      <c r="F480" s="26">
        <f t="shared" si="86"/>
        <v>159955</v>
      </c>
      <c r="G480" s="26">
        <f t="shared" si="87"/>
        <v>159955</v>
      </c>
      <c r="H480" s="25">
        <f aca="true" t="shared" si="94" ref="H480:O480">SUM(H481:H486)</f>
        <v>93055</v>
      </c>
      <c r="I480" s="25">
        <f t="shared" si="94"/>
        <v>66900</v>
      </c>
      <c r="J480" s="25">
        <f t="shared" si="94"/>
        <v>0</v>
      </c>
      <c r="K480" s="25">
        <f t="shared" si="94"/>
        <v>0</v>
      </c>
      <c r="L480" s="25">
        <f t="shared" si="94"/>
        <v>0</v>
      </c>
      <c r="M480" s="25">
        <f t="shared" si="94"/>
        <v>0</v>
      </c>
      <c r="N480" s="25">
        <f t="shared" si="94"/>
        <v>0</v>
      </c>
      <c r="O480" s="25">
        <f t="shared" si="94"/>
        <v>0</v>
      </c>
    </row>
    <row r="481" spans="1:15" ht="12.75">
      <c r="A481" s="504"/>
      <c r="B481" s="506"/>
      <c r="C481" s="507">
        <v>4010</v>
      </c>
      <c r="D481" s="13" t="s">
        <v>395</v>
      </c>
      <c r="E481" s="21">
        <f t="shared" si="85"/>
        <v>79100</v>
      </c>
      <c r="F481" s="21">
        <f t="shared" si="86"/>
        <v>79100</v>
      </c>
      <c r="G481" s="21">
        <f t="shared" si="87"/>
        <v>79100</v>
      </c>
      <c r="H481" s="263">
        <f>89100-10000</f>
        <v>79100</v>
      </c>
      <c r="I481" s="263"/>
      <c r="J481" s="263"/>
      <c r="K481" s="263"/>
      <c r="L481" s="263"/>
      <c r="M481" s="263"/>
      <c r="N481" s="263"/>
      <c r="O481" s="263"/>
    </row>
    <row r="482" spans="1:15" ht="12.75">
      <c r="A482" s="504"/>
      <c r="B482" s="506"/>
      <c r="C482" s="507">
        <v>4110</v>
      </c>
      <c r="D482" s="13" t="s">
        <v>396</v>
      </c>
      <c r="E482" s="21">
        <f t="shared" si="85"/>
        <v>12015</v>
      </c>
      <c r="F482" s="21">
        <f t="shared" si="86"/>
        <v>12015</v>
      </c>
      <c r="G482" s="21">
        <f t="shared" si="87"/>
        <v>12015</v>
      </c>
      <c r="H482" s="263">
        <v>12015</v>
      </c>
      <c r="I482" s="263"/>
      <c r="J482" s="263"/>
      <c r="K482" s="263"/>
      <c r="L482" s="263"/>
      <c r="M482" s="263"/>
      <c r="N482" s="263"/>
      <c r="O482" s="263"/>
    </row>
    <row r="483" spans="1:15" ht="12.75">
      <c r="A483" s="504"/>
      <c r="B483" s="506"/>
      <c r="C483" s="507">
        <v>4120</v>
      </c>
      <c r="D483" s="13" t="s">
        <v>400</v>
      </c>
      <c r="E483" s="21">
        <f t="shared" si="85"/>
        <v>1940</v>
      </c>
      <c r="F483" s="21">
        <f t="shared" si="86"/>
        <v>1940</v>
      </c>
      <c r="G483" s="21">
        <f t="shared" si="87"/>
        <v>1940</v>
      </c>
      <c r="H483" s="263">
        <v>1940</v>
      </c>
      <c r="I483" s="263"/>
      <c r="J483" s="263"/>
      <c r="K483" s="263"/>
      <c r="L483" s="263"/>
      <c r="M483" s="263"/>
      <c r="N483" s="263"/>
      <c r="O483" s="263"/>
    </row>
    <row r="484" spans="1:15" ht="12.75">
      <c r="A484" s="504"/>
      <c r="B484" s="506"/>
      <c r="C484" s="507">
        <v>4210</v>
      </c>
      <c r="D484" s="13" t="s">
        <v>308</v>
      </c>
      <c r="E484" s="21">
        <f t="shared" si="85"/>
        <v>27000</v>
      </c>
      <c r="F484" s="21">
        <f t="shared" si="86"/>
        <v>27000</v>
      </c>
      <c r="G484" s="21">
        <f t="shared" si="87"/>
        <v>27000</v>
      </c>
      <c r="H484" s="263">
        <v>0</v>
      </c>
      <c r="I484" s="263">
        <f>40000-13000</f>
        <v>27000</v>
      </c>
      <c r="J484" s="263"/>
      <c r="K484" s="263"/>
      <c r="L484" s="263"/>
      <c r="M484" s="263"/>
      <c r="N484" s="263"/>
      <c r="O484" s="263"/>
    </row>
    <row r="485" spans="1:15" ht="12.75">
      <c r="A485" s="504"/>
      <c r="B485" s="506"/>
      <c r="C485" s="507">
        <v>4260</v>
      </c>
      <c r="D485" s="13" t="s">
        <v>408</v>
      </c>
      <c r="E485" s="21">
        <f t="shared" si="85"/>
        <v>14900</v>
      </c>
      <c r="F485" s="21">
        <f t="shared" si="86"/>
        <v>14900</v>
      </c>
      <c r="G485" s="21">
        <f t="shared" si="87"/>
        <v>14900</v>
      </c>
      <c r="H485" s="263"/>
      <c r="I485" s="263">
        <f>15000-100</f>
        <v>14900</v>
      </c>
      <c r="J485" s="263"/>
      <c r="K485" s="263"/>
      <c r="L485" s="263"/>
      <c r="M485" s="263"/>
      <c r="N485" s="263"/>
      <c r="O485" s="263"/>
    </row>
    <row r="486" spans="1:15" ht="12.75">
      <c r="A486" s="504"/>
      <c r="B486" s="506"/>
      <c r="C486" s="507">
        <v>4300</v>
      </c>
      <c r="D486" s="13" t="s">
        <v>318</v>
      </c>
      <c r="E486" s="21">
        <f t="shared" si="85"/>
        <v>25000</v>
      </c>
      <c r="F486" s="21">
        <f t="shared" si="86"/>
        <v>25000</v>
      </c>
      <c r="G486" s="21">
        <f t="shared" si="87"/>
        <v>25000</v>
      </c>
      <c r="H486" s="263"/>
      <c r="I486" s="263">
        <f>35000-10000</f>
        <v>25000</v>
      </c>
      <c r="J486" s="263"/>
      <c r="K486" s="263"/>
      <c r="L486" s="263"/>
      <c r="M486" s="263"/>
      <c r="N486" s="263"/>
      <c r="O486" s="263"/>
    </row>
    <row r="487" spans="1:15" ht="12.75">
      <c r="A487" s="504"/>
      <c r="B487" s="505">
        <v>90015</v>
      </c>
      <c r="C487" s="508"/>
      <c r="D487" s="513" t="s">
        <v>122</v>
      </c>
      <c r="E487" s="26">
        <f t="shared" si="85"/>
        <v>1652000</v>
      </c>
      <c r="F487" s="26">
        <f t="shared" si="86"/>
        <v>1547000</v>
      </c>
      <c r="G487" s="26">
        <f t="shared" si="87"/>
        <v>1547000</v>
      </c>
      <c r="H487" s="25">
        <f aca="true" t="shared" si="95" ref="H487:M487">SUM(H488:H491)</f>
        <v>0</v>
      </c>
      <c r="I487" s="25">
        <f t="shared" si="95"/>
        <v>1547000</v>
      </c>
      <c r="J487" s="25">
        <f t="shared" si="95"/>
        <v>0</v>
      </c>
      <c r="K487" s="25">
        <f t="shared" si="95"/>
        <v>0</v>
      </c>
      <c r="L487" s="25">
        <f t="shared" si="95"/>
        <v>0</v>
      </c>
      <c r="M487" s="25">
        <f t="shared" si="95"/>
        <v>0</v>
      </c>
      <c r="N487" s="25">
        <f>SUM(N488:N492)</f>
        <v>105000</v>
      </c>
      <c r="O487" s="25">
        <f>SUM(O488:O492)</f>
        <v>105000</v>
      </c>
    </row>
    <row r="488" spans="1:15" ht="12.75">
      <c r="A488" s="504"/>
      <c r="B488" s="506"/>
      <c r="C488" s="507">
        <v>4210</v>
      </c>
      <c r="D488" s="13" t="s">
        <v>308</v>
      </c>
      <c r="E488" s="21">
        <f t="shared" si="85"/>
        <v>80000</v>
      </c>
      <c r="F488" s="21">
        <f t="shared" si="86"/>
        <v>80000</v>
      </c>
      <c r="G488" s="21">
        <f t="shared" si="87"/>
        <v>80000</v>
      </c>
      <c r="H488" s="263"/>
      <c r="I488" s="263">
        <f>100000-20000</f>
        <v>80000</v>
      </c>
      <c r="J488" s="263"/>
      <c r="K488" s="263"/>
      <c r="L488" s="263"/>
      <c r="M488" s="263"/>
      <c r="N488" s="263"/>
      <c r="O488" s="263"/>
    </row>
    <row r="489" spans="1:15" ht="12.75">
      <c r="A489" s="504"/>
      <c r="B489" s="506"/>
      <c r="C489" s="507">
        <v>4260</v>
      </c>
      <c r="D489" s="13" t="s">
        <v>408</v>
      </c>
      <c r="E489" s="21">
        <f t="shared" si="85"/>
        <v>1250000</v>
      </c>
      <c r="F489" s="21">
        <f t="shared" si="86"/>
        <v>1250000</v>
      </c>
      <c r="G489" s="21">
        <f t="shared" si="87"/>
        <v>1250000</v>
      </c>
      <c r="H489" s="263"/>
      <c r="I489" s="263">
        <v>1250000</v>
      </c>
      <c r="J489" s="263"/>
      <c r="K489" s="263"/>
      <c r="L489" s="263"/>
      <c r="M489" s="263"/>
      <c r="N489" s="263"/>
      <c r="O489" s="263"/>
    </row>
    <row r="490" spans="1:15" ht="12.75">
      <c r="A490" s="504"/>
      <c r="B490" s="506"/>
      <c r="C490" s="507">
        <v>4270</v>
      </c>
      <c r="D490" s="13" t="s">
        <v>299</v>
      </c>
      <c r="E490" s="21">
        <f t="shared" si="85"/>
        <v>215000</v>
      </c>
      <c r="F490" s="21">
        <f t="shared" si="86"/>
        <v>215000</v>
      </c>
      <c r="G490" s="21">
        <f t="shared" si="87"/>
        <v>215000</v>
      </c>
      <c r="H490" s="263"/>
      <c r="I490" s="263">
        <f>220000-5000</f>
        <v>215000</v>
      </c>
      <c r="J490" s="263"/>
      <c r="K490" s="263"/>
      <c r="L490" s="263"/>
      <c r="M490" s="263"/>
      <c r="N490" s="263"/>
      <c r="O490" s="263"/>
    </row>
    <row r="491" spans="1:15" ht="12.75">
      <c r="A491" s="504"/>
      <c r="B491" s="506"/>
      <c r="C491" s="507">
        <v>4300</v>
      </c>
      <c r="D491" s="13" t="s">
        <v>318</v>
      </c>
      <c r="E491" s="21">
        <f t="shared" si="85"/>
        <v>2000</v>
      </c>
      <c r="F491" s="21">
        <f t="shared" si="86"/>
        <v>2000</v>
      </c>
      <c r="G491" s="21">
        <f t="shared" si="87"/>
        <v>2000</v>
      </c>
      <c r="H491" s="263"/>
      <c r="I491" s="263">
        <v>2000</v>
      </c>
      <c r="J491" s="263"/>
      <c r="K491" s="263"/>
      <c r="L491" s="263"/>
      <c r="M491" s="263"/>
      <c r="N491" s="263"/>
      <c r="O491" s="263"/>
    </row>
    <row r="492" spans="1:15" ht="12.75">
      <c r="A492" s="504"/>
      <c r="B492" s="506"/>
      <c r="C492" s="507">
        <v>6050</v>
      </c>
      <c r="D492" s="13" t="s">
        <v>309</v>
      </c>
      <c r="E492" s="21">
        <f>SUM(F492+N492)</f>
        <v>105000</v>
      </c>
      <c r="F492" s="21">
        <f>SUM(J492:M492)+G492</f>
        <v>0</v>
      </c>
      <c r="G492" s="21">
        <f>SUM(H492:I492)</f>
        <v>0</v>
      </c>
      <c r="H492" s="263"/>
      <c r="I492" s="263"/>
      <c r="J492" s="263"/>
      <c r="K492" s="263"/>
      <c r="L492" s="263"/>
      <c r="M492" s="263"/>
      <c r="N492" s="263">
        <v>105000</v>
      </c>
      <c r="O492" s="263">
        <v>105000</v>
      </c>
    </row>
    <row r="493" spans="1:15" ht="12.75">
      <c r="A493" s="504"/>
      <c r="B493" s="505">
        <v>90095</v>
      </c>
      <c r="C493" s="508"/>
      <c r="D493" s="513" t="s">
        <v>90</v>
      </c>
      <c r="E493" s="26">
        <f t="shared" si="85"/>
        <v>18668942.43</v>
      </c>
      <c r="F493" s="26">
        <f t="shared" si="86"/>
        <v>1296004.38</v>
      </c>
      <c r="G493" s="26">
        <f t="shared" si="87"/>
        <v>1271004.38</v>
      </c>
      <c r="H493" s="25">
        <f aca="true" t="shared" si="96" ref="H493:O493">SUM(H494:H505)</f>
        <v>0</v>
      </c>
      <c r="I493" s="25">
        <f t="shared" si="96"/>
        <v>1271004.38</v>
      </c>
      <c r="J493" s="25">
        <f t="shared" si="96"/>
        <v>0</v>
      </c>
      <c r="K493" s="25">
        <f t="shared" si="96"/>
        <v>25000</v>
      </c>
      <c r="L493" s="25">
        <f t="shared" si="96"/>
        <v>0</v>
      </c>
      <c r="M493" s="25">
        <f t="shared" si="96"/>
        <v>0</v>
      </c>
      <c r="N493" s="25">
        <f t="shared" si="96"/>
        <v>17372938.05</v>
      </c>
      <c r="O493" s="25">
        <f t="shared" si="96"/>
        <v>17372938.05</v>
      </c>
    </row>
    <row r="494" spans="1:15" ht="22.5">
      <c r="A494" s="504"/>
      <c r="B494" s="505"/>
      <c r="C494" s="507">
        <v>3040</v>
      </c>
      <c r="D494" s="14" t="s">
        <v>317</v>
      </c>
      <c r="E494" s="21">
        <f t="shared" si="85"/>
        <v>25000</v>
      </c>
      <c r="F494" s="21">
        <f t="shared" si="86"/>
        <v>25000</v>
      </c>
      <c r="G494" s="21">
        <f t="shared" si="87"/>
        <v>0</v>
      </c>
      <c r="H494" s="263"/>
      <c r="I494" s="263"/>
      <c r="J494" s="263"/>
      <c r="K494" s="263">
        <v>25000</v>
      </c>
      <c r="L494" s="263"/>
      <c r="M494" s="263"/>
      <c r="N494" s="263"/>
      <c r="O494" s="263"/>
    </row>
    <row r="495" spans="1:15" ht="12.75">
      <c r="A495" s="504"/>
      <c r="B495" s="506"/>
      <c r="C495" s="507">
        <v>4210</v>
      </c>
      <c r="D495" s="13" t="s">
        <v>308</v>
      </c>
      <c r="E495" s="21">
        <f t="shared" si="85"/>
        <v>235000</v>
      </c>
      <c r="F495" s="21">
        <f t="shared" si="86"/>
        <v>235000</v>
      </c>
      <c r="G495" s="21">
        <f t="shared" si="87"/>
        <v>235000</v>
      </c>
      <c r="H495" s="263"/>
      <c r="I495" s="263">
        <v>235000</v>
      </c>
      <c r="J495" s="263"/>
      <c r="K495" s="263"/>
      <c r="L495" s="263"/>
      <c r="M495" s="263"/>
      <c r="N495" s="263"/>
      <c r="O495" s="263"/>
    </row>
    <row r="496" spans="1:15" ht="12.75">
      <c r="A496" s="504"/>
      <c r="B496" s="506"/>
      <c r="C496" s="507">
        <v>4260</v>
      </c>
      <c r="D496" s="13" t="s">
        <v>408</v>
      </c>
      <c r="E496" s="21">
        <f t="shared" si="85"/>
        <v>33000</v>
      </c>
      <c r="F496" s="21">
        <f t="shared" si="86"/>
        <v>33000</v>
      </c>
      <c r="G496" s="21">
        <f t="shared" si="87"/>
        <v>33000</v>
      </c>
      <c r="H496" s="263" t="s">
        <v>60</v>
      </c>
      <c r="I496" s="263">
        <v>33000</v>
      </c>
      <c r="J496" s="263"/>
      <c r="K496" s="263"/>
      <c r="L496" s="263"/>
      <c r="M496" s="263"/>
      <c r="N496" s="263"/>
      <c r="O496" s="263"/>
    </row>
    <row r="497" spans="1:15" ht="12.75">
      <c r="A497" s="504"/>
      <c r="B497" s="506"/>
      <c r="C497" s="507">
        <v>4270</v>
      </c>
      <c r="D497" s="13" t="s">
        <v>299</v>
      </c>
      <c r="E497" s="21">
        <f t="shared" si="85"/>
        <v>20000</v>
      </c>
      <c r="F497" s="21">
        <f t="shared" si="86"/>
        <v>20000</v>
      </c>
      <c r="G497" s="21">
        <f t="shared" si="87"/>
        <v>20000</v>
      </c>
      <c r="H497" s="263"/>
      <c r="I497" s="263">
        <v>20000</v>
      </c>
      <c r="J497" s="263"/>
      <c r="K497" s="263"/>
      <c r="L497" s="263"/>
      <c r="M497" s="263"/>
      <c r="N497" s="263"/>
      <c r="O497" s="263"/>
    </row>
    <row r="498" spans="1:15" ht="12.75">
      <c r="A498" s="504"/>
      <c r="B498" s="506"/>
      <c r="C498" s="507">
        <v>4300</v>
      </c>
      <c r="D498" s="13" t="s">
        <v>318</v>
      </c>
      <c r="E498" s="21">
        <f t="shared" si="85"/>
        <v>769004.38</v>
      </c>
      <c r="F498" s="21">
        <f t="shared" si="86"/>
        <v>769004.38</v>
      </c>
      <c r="G498" s="21">
        <f t="shared" si="87"/>
        <v>769004.38</v>
      </c>
      <c r="H498" s="263"/>
      <c r="I498" s="263">
        <f>771506.38-2502</f>
        <v>769004.38</v>
      </c>
      <c r="J498" s="263"/>
      <c r="K498" s="263"/>
      <c r="L498" s="263" t="s">
        <v>60</v>
      </c>
      <c r="M498" s="263"/>
      <c r="N498" s="263"/>
      <c r="O498" s="263"/>
    </row>
    <row r="499" spans="1:15" ht="22.5">
      <c r="A499" s="504"/>
      <c r="B499" s="506"/>
      <c r="C499" s="507">
        <v>4400</v>
      </c>
      <c r="D499" s="14" t="s">
        <v>46</v>
      </c>
      <c r="E499" s="21">
        <f t="shared" si="85"/>
        <v>144000</v>
      </c>
      <c r="F499" s="21">
        <f t="shared" si="86"/>
        <v>144000</v>
      </c>
      <c r="G499" s="21">
        <f t="shared" si="87"/>
        <v>144000</v>
      </c>
      <c r="H499" s="263"/>
      <c r="I499" s="263">
        <v>144000</v>
      </c>
      <c r="J499" s="263"/>
      <c r="K499" s="263"/>
      <c r="L499" s="263"/>
      <c r="M499" s="263"/>
      <c r="N499" s="263"/>
      <c r="O499" s="263"/>
    </row>
    <row r="500" spans="1:15" ht="12.75">
      <c r="A500" s="504"/>
      <c r="B500" s="506"/>
      <c r="C500" s="507">
        <v>4430</v>
      </c>
      <c r="D500" s="13" t="s">
        <v>398</v>
      </c>
      <c r="E500" s="21">
        <f t="shared" si="85"/>
        <v>65000</v>
      </c>
      <c r="F500" s="21">
        <f t="shared" si="86"/>
        <v>65000</v>
      </c>
      <c r="G500" s="21">
        <f t="shared" si="87"/>
        <v>65000</v>
      </c>
      <c r="H500" s="263"/>
      <c r="I500" s="263">
        <v>65000</v>
      </c>
      <c r="J500" s="263"/>
      <c r="K500" s="263"/>
      <c r="L500" s="263"/>
      <c r="M500" s="263"/>
      <c r="N500" s="263"/>
      <c r="O500" s="263"/>
    </row>
    <row r="501" spans="1:15" ht="22.5">
      <c r="A501" s="504"/>
      <c r="B501" s="506"/>
      <c r="C501" s="507">
        <v>4700</v>
      </c>
      <c r="D501" s="14" t="s">
        <v>319</v>
      </c>
      <c r="E501" s="21">
        <f t="shared" si="85"/>
        <v>5000</v>
      </c>
      <c r="F501" s="21">
        <f t="shared" si="86"/>
        <v>5000</v>
      </c>
      <c r="G501" s="21">
        <f t="shared" si="87"/>
        <v>5000</v>
      </c>
      <c r="H501" s="263"/>
      <c r="I501" s="263">
        <v>5000</v>
      </c>
      <c r="J501" s="263"/>
      <c r="K501" s="263"/>
      <c r="L501" s="263"/>
      <c r="M501" s="263"/>
      <c r="N501" s="263"/>
      <c r="O501" s="263"/>
    </row>
    <row r="502" spans="1:15" ht="12.75">
      <c r="A502" s="504"/>
      <c r="B502" s="506"/>
      <c r="C502" s="507">
        <v>6050</v>
      </c>
      <c r="D502" s="13" t="s">
        <v>309</v>
      </c>
      <c r="E502" s="21">
        <f t="shared" si="85"/>
        <v>6455000</v>
      </c>
      <c r="F502" s="21">
        <f t="shared" si="86"/>
        <v>0</v>
      </c>
      <c r="G502" s="21">
        <f t="shared" si="87"/>
        <v>0</v>
      </c>
      <c r="H502" s="263"/>
      <c r="I502" s="263"/>
      <c r="J502" s="263"/>
      <c r="K502" s="263"/>
      <c r="L502" s="263"/>
      <c r="M502" s="263"/>
      <c r="N502" s="263">
        <v>6455000</v>
      </c>
      <c r="O502" s="263">
        <v>6455000</v>
      </c>
    </row>
    <row r="503" spans="1:15" ht="12.75">
      <c r="A503" s="504"/>
      <c r="B503" s="506"/>
      <c r="C503" s="507">
        <v>6057</v>
      </c>
      <c r="D503" s="13" t="s">
        <v>309</v>
      </c>
      <c r="E503" s="21">
        <f t="shared" si="85"/>
        <v>8586263.32</v>
      </c>
      <c r="F503" s="21">
        <f t="shared" si="86"/>
        <v>0</v>
      </c>
      <c r="G503" s="21">
        <f t="shared" si="87"/>
        <v>0</v>
      </c>
      <c r="H503" s="263"/>
      <c r="I503" s="263"/>
      <c r="J503" s="263"/>
      <c r="K503" s="263"/>
      <c r="L503" s="263"/>
      <c r="M503" s="263"/>
      <c r="N503" s="263">
        <v>8586263.32</v>
      </c>
      <c r="O503" s="263">
        <v>8586263.32</v>
      </c>
    </row>
    <row r="504" spans="1:15" ht="12.75">
      <c r="A504" s="504"/>
      <c r="B504" s="506"/>
      <c r="C504" s="507">
        <v>6059</v>
      </c>
      <c r="D504" s="13" t="s">
        <v>309</v>
      </c>
      <c r="E504" s="21">
        <f t="shared" si="85"/>
        <v>2323674.73</v>
      </c>
      <c r="F504" s="21">
        <f t="shared" si="86"/>
        <v>0</v>
      </c>
      <c r="G504" s="21">
        <f t="shared" si="87"/>
        <v>0</v>
      </c>
      <c r="H504" s="263"/>
      <c r="I504" s="263"/>
      <c r="J504" s="263"/>
      <c r="K504" s="263"/>
      <c r="L504" s="263"/>
      <c r="M504" s="263"/>
      <c r="N504" s="263">
        <v>2323674.73</v>
      </c>
      <c r="O504" s="263">
        <v>2323674.73</v>
      </c>
    </row>
    <row r="505" spans="1:15" ht="22.5">
      <c r="A505" s="504"/>
      <c r="B505" s="506"/>
      <c r="C505" s="507">
        <v>6060</v>
      </c>
      <c r="D505" s="14" t="s">
        <v>31</v>
      </c>
      <c r="E505" s="21">
        <f t="shared" si="85"/>
        <v>8000</v>
      </c>
      <c r="F505" s="21">
        <f t="shared" si="86"/>
        <v>0</v>
      </c>
      <c r="G505" s="21">
        <f t="shared" si="87"/>
        <v>0</v>
      </c>
      <c r="H505" s="263"/>
      <c r="I505" s="263"/>
      <c r="J505" s="263"/>
      <c r="K505" s="263"/>
      <c r="L505" s="263"/>
      <c r="M505" s="263"/>
      <c r="N505" s="263">
        <v>8000</v>
      </c>
      <c r="O505" s="263">
        <v>8000</v>
      </c>
    </row>
    <row r="506" spans="1:15" ht="22.5">
      <c r="A506" s="523">
        <v>921</v>
      </c>
      <c r="B506" s="524"/>
      <c r="C506" s="507"/>
      <c r="D506" s="387" t="s">
        <v>123</v>
      </c>
      <c r="E506" s="26">
        <f t="shared" si="85"/>
        <v>7161219.58</v>
      </c>
      <c r="F506" s="26">
        <f t="shared" si="86"/>
        <v>2761655</v>
      </c>
      <c r="G506" s="26">
        <f t="shared" si="87"/>
        <v>54655</v>
      </c>
      <c r="H506" s="29">
        <f aca="true" t="shared" si="97" ref="H506:O506">SUM(H507+H516+H518+H520)</f>
        <v>0</v>
      </c>
      <c r="I506" s="29">
        <f t="shared" si="97"/>
        <v>54655</v>
      </c>
      <c r="J506" s="29">
        <f t="shared" si="97"/>
        <v>0</v>
      </c>
      <c r="K506" s="29">
        <f t="shared" si="97"/>
        <v>0</v>
      </c>
      <c r="L506" s="29">
        <f t="shared" si="97"/>
        <v>2707000</v>
      </c>
      <c r="M506" s="29">
        <f t="shared" si="97"/>
        <v>0</v>
      </c>
      <c r="N506" s="29">
        <f t="shared" si="97"/>
        <v>4399564.58</v>
      </c>
      <c r="O506" s="29">
        <f t="shared" si="97"/>
        <v>4224564.58</v>
      </c>
    </row>
    <row r="507" spans="1:15" ht="12.75">
      <c r="A507" s="504"/>
      <c r="B507" s="505">
        <v>92109</v>
      </c>
      <c r="C507" s="508"/>
      <c r="D507" s="513" t="s">
        <v>150</v>
      </c>
      <c r="E507" s="26">
        <f t="shared" si="85"/>
        <v>6206219.58</v>
      </c>
      <c r="F507" s="26">
        <f t="shared" si="86"/>
        <v>1856655</v>
      </c>
      <c r="G507" s="26">
        <f t="shared" si="87"/>
        <v>54655</v>
      </c>
      <c r="H507" s="25">
        <f aca="true" t="shared" si="98" ref="H507:O507">SUM(H508:H515)</f>
        <v>0</v>
      </c>
      <c r="I507" s="25">
        <f t="shared" si="98"/>
        <v>54655</v>
      </c>
      <c r="J507" s="25">
        <f t="shared" si="98"/>
        <v>0</v>
      </c>
      <c r="K507" s="25">
        <f t="shared" si="98"/>
        <v>0</v>
      </c>
      <c r="L507" s="25">
        <f t="shared" si="98"/>
        <v>1802000</v>
      </c>
      <c r="M507" s="25">
        <f t="shared" si="98"/>
        <v>0</v>
      </c>
      <c r="N507" s="25">
        <f t="shared" si="98"/>
        <v>4349564.58</v>
      </c>
      <c r="O507" s="25">
        <f t="shared" si="98"/>
        <v>4224564.58</v>
      </c>
    </row>
    <row r="508" spans="1:15" ht="22.5">
      <c r="A508" s="504"/>
      <c r="B508" s="506"/>
      <c r="C508" s="507">
        <v>2480</v>
      </c>
      <c r="D508" s="14" t="s">
        <v>47</v>
      </c>
      <c r="E508" s="21">
        <f t="shared" si="85"/>
        <v>1802000</v>
      </c>
      <c r="F508" s="21">
        <f t="shared" si="86"/>
        <v>1802000</v>
      </c>
      <c r="G508" s="21">
        <f t="shared" si="87"/>
        <v>0</v>
      </c>
      <c r="H508" s="263"/>
      <c r="I508" s="263"/>
      <c r="J508" s="263"/>
      <c r="K508" s="263"/>
      <c r="L508" s="263">
        <f>1800000+2000</f>
        <v>1802000</v>
      </c>
      <c r="M508" s="263"/>
      <c r="N508" s="263"/>
      <c r="O508" s="263"/>
    </row>
    <row r="509" spans="1:15" ht="12.75">
      <c r="A509" s="504"/>
      <c r="B509" s="506"/>
      <c r="C509" s="507">
        <v>4210</v>
      </c>
      <c r="D509" s="13" t="s">
        <v>308</v>
      </c>
      <c r="E509" s="21">
        <f t="shared" si="85"/>
        <v>41090</v>
      </c>
      <c r="F509" s="21">
        <f t="shared" si="86"/>
        <v>41090</v>
      </c>
      <c r="G509" s="21">
        <f t="shared" si="87"/>
        <v>41090</v>
      </c>
      <c r="H509" s="263"/>
      <c r="I509" s="263">
        <v>41090</v>
      </c>
      <c r="J509" s="263"/>
      <c r="K509" s="263"/>
      <c r="L509" s="263"/>
      <c r="M509" s="263"/>
      <c r="N509" s="263"/>
      <c r="O509" s="263"/>
    </row>
    <row r="510" spans="1:15" ht="12.75">
      <c r="A510" s="504"/>
      <c r="B510" s="506"/>
      <c r="C510" s="507">
        <v>4270</v>
      </c>
      <c r="D510" s="13" t="s">
        <v>299</v>
      </c>
      <c r="E510" s="21">
        <f t="shared" si="85"/>
        <v>13565</v>
      </c>
      <c r="F510" s="21">
        <f t="shared" si="86"/>
        <v>13565</v>
      </c>
      <c r="G510" s="21">
        <f t="shared" si="87"/>
        <v>13565</v>
      </c>
      <c r="H510" s="263"/>
      <c r="I510" s="263">
        <v>13565</v>
      </c>
      <c r="J510" s="263"/>
      <c r="K510" s="263"/>
      <c r="L510" s="263"/>
      <c r="M510" s="263"/>
      <c r="N510" s="263"/>
      <c r="O510" s="263"/>
    </row>
    <row r="511" spans="1:15" ht="12.75">
      <c r="A511" s="504"/>
      <c r="B511" s="506"/>
      <c r="C511" s="507">
        <v>6050</v>
      </c>
      <c r="D511" s="14" t="s">
        <v>309</v>
      </c>
      <c r="E511" s="21">
        <f aca="true" t="shared" si="99" ref="E511:E541">SUM(F511+N511)</f>
        <v>372000</v>
      </c>
      <c r="F511" s="21">
        <f aca="true" t="shared" si="100" ref="F511:F541">SUM(J511:M511)+G511</f>
        <v>0</v>
      </c>
      <c r="G511" s="21">
        <f aca="true" t="shared" si="101" ref="G511:G541">SUM(H511:I511)</f>
        <v>0</v>
      </c>
      <c r="H511" s="263"/>
      <c r="I511" s="263"/>
      <c r="J511" s="263"/>
      <c r="K511" s="263"/>
      <c r="L511" s="263"/>
      <c r="M511" s="263"/>
      <c r="N511" s="263">
        <v>372000</v>
      </c>
      <c r="O511" s="263">
        <v>372000</v>
      </c>
    </row>
    <row r="512" spans="1:15" ht="12.75">
      <c r="A512" s="504"/>
      <c r="B512" s="506"/>
      <c r="C512" s="507">
        <v>6057</v>
      </c>
      <c r="D512" s="14" t="s">
        <v>309</v>
      </c>
      <c r="E512" s="21">
        <f t="shared" si="99"/>
        <v>1549685.93</v>
      </c>
      <c r="F512" s="21">
        <f t="shared" si="100"/>
        <v>0</v>
      </c>
      <c r="G512" s="21">
        <f t="shared" si="101"/>
        <v>0</v>
      </c>
      <c r="H512" s="263"/>
      <c r="I512" s="263"/>
      <c r="J512" s="263"/>
      <c r="K512" s="263"/>
      <c r="L512" s="263"/>
      <c r="M512" s="263"/>
      <c r="N512" s="263">
        <v>1549685.93</v>
      </c>
      <c r="O512" s="263">
        <v>1549685.93</v>
      </c>
    </row>
    <row r="513" spans="1:15" ht="12.75">
      <c r="A513" s="504"/>
      <c r="B513" s="506"/>
      <c r="C513" s="507">
        <v>6059</v>
      </c>
      <c r="D513" s="14" t="s">
        <v>309</v>
      </c>
      <c r="E513" s="21">
        <f t="shared" si="99"/>
        <v>2296878.65</v>
      </c>
      <c r="F513" s="21">
        <f t="shared" si="100"/>
        <v>0</v>
      </c>
      <c r="G513" s="21">
        <f t="shared" si="101"/>
        <v>0</v>
      </c>
      <c r="H513" s="263"/>
      <c r="I513" s="263"/>
      <c r="J513" s="263"/>
      <c r="K513" s="263"/>
      <c r="L513" s="263"/>
      <c r="M513" s="263"/>
      <c r="N513" s="263">
        <v>2296878.65</v>
      </c>
      <c r="O513" s="263">
        <v>2296878.65</v>
      </c>
    </row>
    <row r="514" spans="1:15" ht="22.5">
      <c r="A514" s="504"/>
      <c r="B514" s="506"/>
      <c r="C514" s="507">
        <v>6060</v>
      </c>
      <c r="D514" s="14" t="s">
        <v>31</v>
      </c>
      <c r="E514" s="21">
        <f>SUM(F514+N514)</f>
        <v>6000</v>
      </c>
      <c r="F514" s="21">
        <f>SUM(J514:M514)+G514</f>
        <v>0</v>
      </c>
      <c r="G514" s="21">
        <f>SUM(H514:I514)</f>
        <v>0</v>
      </c>
      <c r="H514" s="263"/>
      <c r="I514" s="263"/>
      <c r="J514" s="263"/>
      <c r="K514" s="263"/>
      <c r="L514" s="263"/>
      <c r="M514" s="263"/>
      <c r="N514" s="263">
        <v>6000</v>
      </c>
      <c r="O514" s="263">
        <v>6000</v>
      </c>
    </row>
    <row r="515" spans="1:15" ht="45">
      <c r="A515" s="504"/>
      <c r="B515" s="506"/>
      <c r="C515" s="507">
        <v>6220</v>
      </c>
      <c r="D515" s="14" t="s">
        <v>48</v>
      </c>
      <c r="E515" s="21">
        <f t="shared" si="99"/>
        <v>125000</v>
      </c>
      <c r="F515" s="21">
        <f t="shared" si="100"/>
        <v>0</v>
      </c>
      <c r="G515" s="21">
        <f t="shared" si="101"/>
        <v>0</v>
      </c>
      <c r="H515" s="263"/>
      <c r="I515" s="263" t="s">
        <v>60</v>
      </c>
      <c r="J515" s="263"/>
      <c r="K515" s="263"/>
      <c r="L515" s="263">
        <v>0</v>
      </c>
      <c r="M515" s="263"/>
      <c r="N515" s="263">
        <f>125000</f>
        <v>125000</v>
      </c>
      <c r="O515" s="263">
        <v>0</v>
      </c>
    </row>
    <row r="516" spans="1:15" ht="12.75">
      <c r="A516" s="504"/>
      <c r="B516" s="505">
        <v>92116</v>
      </c>
      <c r="C516" s="508"/>
      <c r="D516" s="513" t="s">
        <v>192</v>
      </c>
      <c r="E516" s="26">
        <f t="shared" si="99"/>
        <v>500000</v>
      </c>
      <c r="F516" s="26">
        <f t="shared" si="100"/>
        <v>500000</v>
      </c>
      <c r="G516" s="26">
        <f t="shared" si="101"/>
        <v>0</v>
      </c>
      <c r="H516" s="25">
        <f aca="true" t="shared" si="102" ref="H516:O516">SUM(H517)</f>
        <v>0</v>
      </c>
      <c r="I516" s="25">
        <f t="shared" si="102"/>
        <v>0</v>
      </c>
      <c r="J516" s="25">
        <f t="shared" si="102"/>
        <v>0</v>
      </c>
      <c r="K516" s="25">
        <f t="shared" si="102"/>
        <v>0</v>
      </c>
      <c r="L516" s="25">
        <f t="shared" si="102"/>
        <v>500000</v>
      </c>
      <c r="M516" s="25">
        <f t="shared" si="102"/>
        <v>0</v>
      </c>
      <c r="N516" s="25">
        <f t="shared" si="102"/>
        <v>0</v>
      </c>
      <c r="O516" s="25">
        <f t="shared" si="102"/>
        <v>0</v>
      </c>
    </row>
    <row r="517" spans="1:15" ht="22.5">
      <c r="A517" s="504"/>
      <c r="B517" s="506"/>
      <c r="C517" s="507">
        <v>2480</v>
      </c>
      <c r="D517" s="14" t="s">
        <v>47</v>
      </c>
      <c r="E517" s="21">
        <f t="shared" si="99"/>
        <v>500000</v>
      </c>
      <c r="F517" s="21">
        <f t="shared" si="100"/>
        <v>500000</v>
      </c>
      <c r="G517" s="21">
        <f t="shared" si="101"/>
        <v>0</v>
      </c>
      <c r="H517" s="263"/>
      <c r="I517" s="263"/>
      <c r="J517" s="263"/>
      <c r="K517" s="263"/>
      <c r="L517" s="241">
        <v>500000</v>
      </c>
      <c r="M517" s="263"/>
      <c r="N517" s="263"/>
      <c r="O517" s="263"/>
    </row>
    <row r="518" spans="1:15" ht="12.75">
      <c r="A518" s="504"/>
      <c r="B518" s="505">
        <v>92118</v>
      </c>
      <c r="C518" s="508"/>
      <c r="D518" s="513" t="s">
        <v>129</v>
      </c>
      <c r="E518" s="26">
        <f t="shared" si="99"/>
        <v>405000</v>
      </c>
      <c r="F518" s="26">
        <f t="shared" si="100"/>
        <v>405000</v>
      </c>
      <c r="G518" s="26">
        <f t="shared" si="101"/>
        <v>0</v>
      </c>
      <c r="H518" s="25">
        <f aca="true" t="shared" si="103" ref="H518:O518">SUM(H519)</f>
        <v>0</v>
      </c>
      <c r="I518" s="25">
        <f t="shared" si="103"/>
        <v>0</v>
      </c>
      <c r="J518" s="25">
        <f t="shared" si="103"/>
        <v>0</v>
      </c>
      <c r="K518" s="25">
        <f t="shared" si="103"/>
        <v>0</v>
      </c>
      <c r="L518" s="25">
        <f t="shared" si="103"/>
        <v>405000</v>
      </c>
      <c r="M518" s="25">
        <f t="shared" si="103"/>
        <v>0</v>
      </c>
      <c r="N518" s="25">
        <f t="shared" si="103"/>
        <v>0</v>
      </c>
      <c r="O518" s="25">
        <f t="shared" si="103"/>
        <v>0</v>
      </c>
    </row>
    <row r="519" spans="1:15" ht="22.5">
      <c r="A519" s="504"/>
      <c r="B519" s="506"/>
      <c r="C519" s="507">
        <v>2480</v>
      </c>
      <c r="D519" s="14" t="s">
        <v>47</v>
      </c>
      <c r="E519" s="21">
        <f t="shared" si="99"/>
        <v>405000</v>
      </c>
      <c r="F519" s="21">
        <f t="shared" si="100"/>
        <v>405000</v>
      </c>
      <c r="G519" s="21">
        <f t="shared" si="101"/>
        <v>0</v>
      </c>
      <c r="H519" s="263"/>
      <c r="I519" s="263"/>
      <c r="J519" s="263"/>
      <c r="K519" s="263"/>
      <c r="L519" s="263">
        <v>405000</v>
      </c>
      <c r="M519" s="263"/>
      <c r="N519" s="263"/>
      <c r="O519" s="263"/>
    </row>
    <row r="520" spans="1:15" ht="12.75">
      <c r="A520" s="504"/>
      <c r="B520" s="511">
        <v>92120</v>
      </c>
      <c r="C520" s="512"/>
      <c r="D520" s="518" t="s">
        <v>292</v>
      </c>
      <c r="E520" s="26">
        <f t="shared" si="99"/>
        <v>50000</v>
      </c>
      <c r="F520" s="26">
        <f t="shared" si="100"/>
        <v>0</v>
      </c>
      <c r="G520" s="26">
        <f t="shared" si="101"/>
        <v>0</v>
      </c>
      <c r="H520" s="528">
        <f aca="true" t="shared" si="104" ref="H520:O520">SUM(H521)</f>
        <v>0</v>
      </c>
      <c r="I520" s="528">
        <f t="shared" si="104"/>
        <v>0</v>
      </c>
      <c r="J520" s="528">
        <f t="shared" si="104"/>
        <v>0</v>
      </c>
      <c r="K520" s="528">
        <f t="shared" si="104"/>
        <v>0</v>
      </c>
      <c r="L520" s="528">
        <f t="shared" si="104"/>
        <v>0</v>
      </c>
      <c r="M520" s="528">
        <f t="shared" si="104"/>
        <v>0</v>
      </c>
      <c r="N520" s="528">
        <f t="shared" si="104"/>
        <v>50000</v>
      </c>
      <c r="O520" s="528">
        <f t="shared" si="104"/>
        <v>0</v>
      </c>
    </row>
    <row r="521" spans="1:15" ht="45">
      <c r="A521" s="504"/>
      <c r="B521" s="506"/>
      <c r="C521" s="507">
        <v>6230</v>
      </c>
      <c r="D521" s="14" t="s">
        <v>49</v>
      </c>
      <c r="E521" s="21">
        <f t="shared" si="99"/>
        <v>50000</v>
      </c>
      <c r="F521" s="21">
        <f t="shared" si="100"/>
        <v>0</v>
      </c>
      <c r="G521" s="21">
        <f t="shared" si="101"/>
        <v>0</v>
      </c>
      <c r="H521" s="263"/>
      <c r="I521" s="263"/>
      <c r="J521" s="263"/>
      <c r="K521" s="263"/>
      <c r="L521" s="263"/>
      <c r="M521" s="263"/>
      <c r="N521" s="263">
        <v>50000</v>
      </c>
      <c r="O521" s="263"/>
    </row>
    <row r="522" spans="1:15" ht="12.75">
      <c r="A522" s="523">
        <v>926</v>
      </c>
      <c r="B522" s="524"/>
      <c r="C522" s="507"/>
      <c r="D522" s="513" t="s">
        <v>540</v>
      </c>
      <c r="E522" s="26">
        <f t="shared" si="99"/>
        <v>1469462.4</v>
      </c>
      <c r="F522" s="26">
        <f t="shared" si="100"/>
        <v>1223513</v>
      </c>
      <c r="G522" s="26">
        <f t="shared" si="101"/>
        <v>283313</v>
      </c>
      <c r="H522" s="25">
        <f aca="true" t="shared" si="105" ref="H522:O522">SUM(H539+H527+H523)</f>
        <v>4300</v>
      </c>
      <c r="I522" s="25">
        <f t="shared" si="105"/>
        <v>279013</v>
      </c>
      <c r="J522" s="25">
        <f t="shared" si="105"/>
        <v>0</v>
      </c>
      <c r="K522" s="25">
        <f t="shared" si="105"/>
        <v>50000</v>
      </c>
      <c r="L522" s="25">
        <f t="shared" si="105"/>
        <v>890200</v>
      </c>
      <c r="M522" s="25">
        <f t="shared" si="105"/>
        <v>0</v>
      </c>
      <c r="N522" s="25">
        <f t="shared" si="105"/>
        <v>245949.4</v>
      </c>
      <c r="O522" s="25">
        <f t="shared" si="105"/>
        <v>245949.4</v>
      </c>
    </row>
    <row r="523" spans="1:15" ht="12.75">
      <c r="A523" s="514"/>
      <c r="B523" s="515">
        <v>92601</v>
      </c>
      <c r="C523" s="507"/>
      <c r="D523" s="513" t="s">
        <v>194</v>
      </c>
      <c r="E523" s="26">
        <f t="shared" si="99"/>
        <v>245949.4</v>
      </c>
      <c r="F523" s="26">
        <f t="shared" si="100"/>
        <v>0</v>
      </c>
      <c r="G523" s="26">
        <f t="shared" si="101"/>
        <v>0</v>
      </c>
      <c r="H523" s="25">
        <f aca="true" t="shared" si="106" ref="H523:M523">SUM(H524)</f>
        <v>0</v>
      </c>
      <c r="I523" s="25">
        <f t="shared" si="106"/>
        <v>0</v>
      </c>
      <c r="J523" s="25">
        <f t="shared" si="106"/>
        <v>0</v>
      </c>
      <c r="K523" s="25">
        <f t="shared" si="106"/>
        <v>0</v>
      </c>
      <c r="L523" s="25">
        <f t="shared" si="106"/>
        <v>0</v>
      </c>
      <c r="M523" s="25">
        <f t="shared" si="106"/>
        <v>0</v>
      </c>
      <c r="N523" s="25">
        <f>SUM(N524:N526)</f>
        <v>245949.4</v>
      </c>
      <c r="O523" s="25">
        <f>SUM(O524:O526)</f>
        <v>245949.4</v>
      </c>
    </row>
    <row r="524" spans="1:15" ht="12.75">
      <c r="A524" s="514"/>
      <c r="B524" s="515"/>
      <c r="C524" s="507">
        <v>6050</v>
      </c>
      <c r="D524" s="13" t="s">
        <v>309</v>
      </c>
      <c r="E524" s="21">
        <f t="shared" si="99"/>
        <v>220000</v>
      </c>
      <c r="F524" s="21">
        <f t="shared" si="100"/>
        <v>0</v>
      </c>
      <c r="G524" s="21">
        <f t="shared" si="101"/>
        <v>0</v>
      </c>
      <c r="H524" s="263"/>
      <c r="I524" s="263"/>
      <c r="J524" s="263"/>
      <c r="K524" s="263"/>
      <c r="L524" s="263"/>
      <c r="M524" s="263"/>
      <c r="N524" s="263">
        <v>220000</v>
      </c>
      <c r="O524" s="263">
        <v>220000</v>
      </c>
    </row>
    <row r="525" spans="1:15" ht="12.75">
      <c r="A525" s="514"/>
      <c r="B525" s="515"/>
      <c r="C525" s="507">
        <v>6057</v>
      </c>
      <c r="D525" s="13" t="s">
        <v>309</v>
      </c>
      <c r="E525" s="21">
        <f>SUM(F525+N525)</f>
        <v>15952.5</v>
      </c>
      <c r="F525" s="21">
        <f>SUM(J525:M525)+G525</f>
        <v>0</v>
      </c>
      <c r="G525" s="21">
        <f>SUM(H525:I525)</f>
        <v>0</v>
      </c>
      <c r="H525" s="263"/>
      <c r="I525" s="263"/>
      <c r="J525" s="263"/>
      <c r="K525" s="263"/>
      <c r="L525" s="263"/>
      <c r="M525" s="263"/>
      <c r="N525" s="263">
        <v>15952.5</v>
      </c>
      <c r="O525" s="263">
        <v>15952.5</v>
      </c>
    </row>
    <row r="526" spans="1:15" ht="12.75">
      <c r="A526" s="514"/>
      <c r="B526" s="515"/>
      <c r="C526" s="507">
        <v>6059</v>
      </c>
      <c r="D526" s="13" t="s">
        <v>309</v>
      </c>
      <c r="E526" s="21">
        <f>SUM(F526+N526)</f>
        <v>9996.9</v>
      </c>
      <c r="F526" s="21">
        <f>SUM(J526:M526)+G526</f>
        <v>0</v>
      </c>
      <c r="G526" s="21">
        <f>SUM(H526:I526)</f>
        <v>0</v>
      </c>
      <c r="H526" s="263"/>
      <c r="I526" s="263"/>
      <c r="J526" s="263"/>
      <c r="K526" s="263"/>
      <c r="L526" s="263"/>
      <c r="M526" s="263"/>
      <c r="N526" s="263">
        <v>9996.9</v>
      </c>
      <c r="O526" s="263">
        <v>9996.9</v>
      </c>
    </row>
    <row r="527" spans="1:15" ht="12.75">
      <c r="A527" s="504"/>
      <c r="B527" s="505">
        <v>92605</v>
      </c>
      <c r="C527" s="508"/>
      <c r="D527" s="387" t="s">
        <v>541</v>
      </c>
      <c r="E527" s="26">
        <f t="shared" si="99"/>
        <v>643513</v>
      </c>
      <c r="F527" s="26">
        <f t="shared" si="100"/>
        <v>643513</v>
      </c>
      <c r="G527" s="26">
        <f t="shared" si="101"/>
        <v>283313</v>
      </c>
      <c r="H527" s="29">
        <f aca="true" t="shared" si="107" ref="H527:O527">SUM(H528:H538)</f>
        <v>4300</v>
      </c>
      <c r="I527" s="29">
        <f t="shared" si="107"/>
        <v>279013</v>
      </c>
      <c r="J527" s="29">
        <f t="shared" si="107"/>
        <v>0</v>
      </c>
      <c r="K527" s="29">
        <f t="shared" si="107"/>
        <v>50000</v>
      </c>
      <c r="L527" s="29">
        <f t="shared" si="107"/>
        <v>310200</v>
      </c>
      <c r="M527" s="29">
        <f t="shared" si="107"/>
        <v>0</v>
      </c>
      <c r="N527" s="29">
        <f t="shared" si="107"/>
        <v>0</v>
      </c>
      <c r="O527" s="29">
        <f t="shared" si="107"/>
        <v>0</v>
      </c>
    </row>
    <row r="528" spans="1:15" ht="33.75">
      <c r="A528" s="504"/>
      <c r="B528" s="505"/>
      <c r="C528" s="507">
        <v>2820</v>
      </c>
      <c r="D528" s="14" t="s">
        <v>2</v>
      </c>
      <c r="E528" s="21">
        <f t="shared" si="99"/>
        <v>310200</v>
      </c>
      <c r="F528" s="21">
        <f t="shared" si="100"/>
        <v>310200</v>
      </c>
      <c r="G528" s="21">
        <f t="shared" si="101"/>
        <v>0</v>
      </c>
      <c r="H528" s="263"/>
      <c r="I528" s="263"/>
      <c r="J528" s="263"/>
      <c r="K528" s="263"/>
      <c r="L528" s="263">
        <v>310200</v>
      </c>
      <c r="M528" s="263"/>
      <c r="N528" s="263"/>
      <c r="O528" s="263"/>
    </row>
    <row r="529" spans="1:15" ht="22.5">
      <c r="A529" s="504"/>
      <c r="B529" s="506"/>
      <c r="C529" s="507">
        <v>3040</v>
      </c>
      <c r="D529" s="14" t="s">
        <v>317</v>
      </c>
      <c r="E529" s="21">
        <f t="shared" si="99"/>
        <v>40000</v>
      </c>
      <c r="F529" s="21">
        <f t="shared" si="100"/>
        <v>40000</v>
      </c>
      <c r="G529" s="21">
        <f t="shared" si="101"/>
        <v>0</v>
      </c>
      <c r="H529" s="263"/>
      <c r="I529" s="263"/>
      <c r="J529" s="263"/>
      <c r="K529" s="263">
        <v>40000</v>
      </c>
      <c r="L529" s="263"/>
      <c r="M529" s="263"/>
      <c r="N529" s="263"/>
      <c r="O529" s="263"/>
    </row>
    <row r="530" spans="1:15" ht="12.75">
      <c r="A530" s="504"/>
      <c r="B530" s="506"/>
      <c r="C530" s="507">
        <v>3250</v>
      </c>
      <c r="D530" s="14" t="s">
        <v>50</v>
      </c>
      <c r="E530" s="21">
        <f t="shared" si="99"/>
        <v>10000</v>
      </c>
      <c r="F530" s="21">
        <f t="shared" si="100"/>
        <v>10000</v>
      </c>
      <c r="G530" s="21">
        <f t="shared" si="101"/>
        <v>0</v>
      </c>
      <c r="H530" s="263"/>
      <c r="I530" s="263"/>
      <c r="J530" s="263"/>
      <c r="K530" s="263">
        <v>10000</v>
      </c>
      <c r="L530" s="263"/>
      <c r="M530" s="263"/>
      <c r="N530" s="263"/>
      <c r="O530" s="263"/>
    </row>
    <row r="531" spans="1:15" ht="12.75">
      <c r="A531" s="504"/>
      <c r="B531" s="506"/>
      <c r="C531" s="507">
        <v>4110</v>
      </c>
      <c r="D531" s="13" t="s">
        <v>396</v>
      </c>
      <c r="E531" s="21">
        <f t="shared" si="99"/>
        <v>200</v>
      </c>
      <c r="F531" s="21">
        <f t="shared" si="100"/>
        <v>200</v>
      </c>
      <c r="G531" s="21">
        <f t="shared" si="101"/>
        <v>200</v>
      </c>
      <c r="H531" s="263">
        <v>200</v>
      </c>
      <c r="I531" s="263"/>
      <c r="J531" s="263"/>
      <c r="K531" s="263"/>
      <c r="L531" s="263"/>
      <c r="M531" s="263"/>
      <c r="N531" s="263"/>
      <c r="O531" s="263"/>
    </row>
    <row r="532" spans="1:15" ht="12.75">
      <c r="A532" s="504"/>
      <c r="B532" s="506"/>
      <c r="C532" s="507">
        <v>4120</v>
      </c>
      <c r="D532" s="13" t="s">
        <v>397</v>
      </c>
      <c r="E532" s="21">
        <f t="shared" si="99"/>
        <v>100</v>
      </c>
      <c r="F532" s="21">
        <f t="shared" si="100"/>
        <v>100</v>
      </c>
      <c r="G532" s="21">
        <f t="shared" si="101"/>
        <v>100</v>
      </c>
      <c r="H532" s="263">
        <v>100</v>
      </c>
      <c r="I532" s="263"/>
      <c r="J532" s="263"/>
      <c r="K532" s="263"/>
      <c r="L532" s="263"/>
      <c r="M532" s="263"/>
      <c r="N532" s="263"/>
      <c r="O532" s="263"/>
    </row>
    <row r="533" spans="1:15" ht="12.75">
      <c r="A533" s="504"/>
      <c r="B533" s="506"/>
      <c r="C533" s="507">
        <v>4170</v>
      </c>
      <c r="D533" s="14" t="s">
        <v>402</v>
      </c>
      <c r="E533" s="21">
        <f t="shared" si="99"/>
        <v>4000</v>
      </c>
      <c r="F533" s="21">
        <f t="shared" si="100"/>
        <v>4000</v>
      </c>
      <c r="G533" s="21">
        <f t="shared" si="101"/>
        <v>4000</v>
      </c>
      <c r="H533" s="263">
        <v>4000</v>
      </c>
      <c r="I533" s="263"/>
      <c r="J533" s="263"/>
      <c r="K533" s="263"/>
      <c r="L533" s="263"/>
      <c r="M533" s="263"/>
      <c r="N533" s="263"/>
      <c r="O533" s="263"/>
    </row>
    <row r="534" spans="1:15" ht="12.75">
      <c r="A534" s="504"/>
      <c r="B534" s="506"/>
      <c r="C534" s="507">
        <v>4210</v>
      </c>
      <c r="D534" s="14" t="s">
        <v>308</v>
      </c>
      <c r="E534" s="21">
        <f t="shared" si="99"/>
        <v>82000</v>
      </c>
      <c r="F534" s="21">
        <f t="shared" si="100"/>
        <v>82000</v>
      </c>
      <c r="G534" s="21">
        <f t="shared" si="101"/>
        <v>82000</v>
      </c>
      <c r="H534" s="263"/>
      <c r="I534" s="263">
        <v>82000</v>
      </c>
      <c r="J534" s="263"/>
      <c r="K534" s="263"/>
      <c r="L534" s="263"/>
      <c r="M534" s="263"/>
      <c r="N534" s="263"/>
      <c r="O534" s="263"/>
    </row>
    <row r="535" spans="1:15" ht="12.75">
      <c r="A535" s="504"/>
      <c r="B535" s="506"/>
      <c r="C535" s="507">
        <v>4260</v>
      </c>
      <c r="D535" s="13" t="s">
        <v>408</v>
      </c>
      <c r="E535" s="21">
        <f t="shared" si="99"/>
        <v>58513</v>
      </c>
      <c r="F535" s="21">
        <f t="shared" si="100"/>
        <v>58513</v>
      </c>
      <c r="G535" s="21">
        <f t="shared" si="101"/>
        <v>58513</v>
      </c>
      <c r="H535" s="263"/>
      <c r="I535" s="263">
        <v>58513</v>
      </c>
      <c r="J535" s="263"/>
      <c r="K535" s="263"/>
      <c r="L535" s="263"/>
      <c r="M535" s="263"/>
      <c r="N535" s="263"/>
      <c r="O535" s="263"/>
    </row>
    <row r="536" spans="1:15" ht="12.75">
      <c r="A536" s="504"/>
      <c r="B536" s="506"/>
      <c r="C536" s="507">
        <v>4270</v>
      </c>
      <c r="D536" s="13" t="s">
        <v>299</v>
      </c>
      <c r="E536" s="21">
        <f t="shared" si="99"/>
        <v>500</v>
      </c>
      <c r="F536" s="21">
        <f t="shared" si="100"/>
        <v>500</v>
      </c>
      <c r="G536" s="21">
        <f t="shared" si="101"/>
        <v>500</v>
      </c>
      <c r="H536" s="263"/>
      <c r="I536" s="263">
        <v>500</v>
      </c>
      <c r="J536" s="263" t="s">
        <v>60</v>
      </c>
      <c r="K536" s="263"/>
      <c r="L536" s="263"/>
      <c r="M536" s="263"/>
      <c r="N536" s="263"/>
      <c r="O536" s="263"/>
    </row>
    <row r="537" spans="1:15" ht="12.75">
      <c r="A537" s="504"/>
      <c r="B537" s="506"/>
      <c r="C537" s="507">
        <v>4300</v>
      </c>
      <c r="D537" s="14" t="s">
        <v>318</v>
      </c>
      <c r="E537" s="21">
        <f t="shared" si="99"/>
        <v>120000</v>
      </c>
      <c r="F537" s="21">
        <f t="shared" si="100"/>
        <v>120000</v>
      </c>
      <c r="G537" s="21">
        <f t="shared" si="101"/>
        <v>120000</v>
      </c>
      <c r="H537" s="263"/>
      <c r="I537" s="263">
        <v>120000</v>
      </c>
      <c r="J537" s="263"/>
      <c r="K537" s="263"/>
      <c r="L537" s="263"/>
      <c r="M537" s="263"/>
      <c r="N537" s="263"/>
      <c r="O537" s="263"/>
    </row>
    <row r="538" spans="1:15" ht="12.75">
      <c r="A538" s="504"/>
      <c r="B538" s="506"/>
      <c r="C538" s="507">
        <v>4430</v>
      </c>
      <c r="D538" s="14" t="s">
        <v>398</v>
      </c>
      <c r="E538" s="21">
        <f t="shared" si="99"/>
        <v>18000</v>
      </c>
      <c r="F538" s="21">
        <f t="shared" si="100"/>
        <v>18000</v>
      </c>
      <c r="G538" s="21">
        <f t="shared" si="101"/>
        <v>18000</v>
      </c>
      <c r="H538" s="263"/>
      <c r="I538" s="263">
        <v>18000</v>
      </c>
      <c r="J538" s="263"/>
      <c r="K538" s="263"/>
      <c r="L538" s="263"/>
      <c r="M538" s="263"/>
      <c r="N538" s="263"/>
      <c r="O538" s="263"/>
    </row>
    <row r="539" spans="1:15" ht="12.75">
      <c r="A539" s="509"/>
      <c r="B539" s="505">
        <v>92695</v>
      </c>
      <c r="C539" s="508"/>
      <c r="D539" s="387" t="s">
        <v>90</v>
      </c>
      <c r="E539" s="21">
        <f t="shared" si="99"/>
        <v>580000</v>
      </c>
      <c r="F539" s="21">
        <f t="shared" si="100"/>
        <v>580000</v>
      </c>
      <c r="G539" s="21">
        <f t="shared" si="101"/>
        <v>0</v>
      </c>
      <c r="H539" s="29">
        <f aca="true" t="shared" si="108" ref="H539:O539">SUM(H540:H540)</f>
        <v>0</v>
      </c>
      <c r="I539" s="29">
        <f t="shared" si="108"/>
        <v>0</v>
      </c>
      <c r="J539" s="29">
        <f t="shared" si="108"/>
        <v>0</v>
      </c>
      <c r="K539" s="29">
        <f t="shared" si="108"/>
        <v>0</v>
      </c>
      <c r="L539" s="29">
        <f t="shared" si="108"/>
        <v>580000</v>
      </c>
      <c r="M539" s="29">
        <f t="shared" si="108"/>
        <v>0</v>
      </c>
      <c r="N539" s="29">
        <f t="shared" si="108"/>
        <v>0</v>
      </c>
      <c r="O539" s="29">
        <f t="shared" si="108"/>
        <v>0</v>
      </c>
    </row>
    <row r="540" spans="1:15" ht="22.5">
      <c r="A540" s="504"/>
      <c r="B540" s="506"/>
      <c r="C540" s="507">
        <v>2650</v>
      </c>
      <c r="D540" s="14" t="s">
        <v>51</v>
      </c>
      <c r="E540" s="21">
        <f t="shared" si="99"/>
        <v>580000</v>
      </c>
      <c r="F540" s="21">
        <f t="shared" si="100"/>
        <v>580000</v>
      </c>
      <c r="G540" s="21">
        <f t="shared" si="101"/>
        <v>0</v>
      </c>
      <c r="H540" s="263"/>
      <c r="I540" s="263"/>
      <c r="J540" s="263"/>
      <c r="K540" s="263"/>
      <c r="L540" s="263">
        <v>580000</v>
      </c>
      <c r="M540" s="263"/>
      <c r="N540" s="263"/>
      <c r="O540" s="263"/>
    </row>
    <row r="541" spans="1:15" ht="12.75">
      <c r="A541" s="523"/>
      <c r="B541" s="524"/>
      <c r="C541" s="515"/>
      <c r="D541" s="513" t="s">
        <v>196</v>
      </c>
      <c r="E541" s="26">
        <f t="shared" si="99"/>
        <v>111920114.5</v>
      </c>
      <c r="F541" s="26">
        <f t="shared" si="100"/>
        <v>75263002.38</v>
      </c>
      <c r="G541" s="26">
        <f t="shared" si="101"/>
        <v>53727104.379999995</v>
      </c>
      <c r="H541" s="25">
        <f aca="true" t="shared" si="109" ref="H541:O541">SUM(H8+H14+H25+H37+H47+H103+H109+H143+H151+H155+H158+H320+H342+H437+H454+H462+H506+H522)</f>
        <v>35523241</v>
      </c>
      <c r="I541" s="25">
        <f t="shared" si="109"/>
        <v>18203863.38</v>
      </c>
      <c r="J541" s="25">
        <f t="shared" si="109"/>
        <v>64110</v>
      </c>
      <c r="K541" s="25">
        <f t="shared" si="109"/>
        <v>13659605</v>
      </c>
      <c r="L541" s="25">
        <f t="shared" si="109"/>
        <v>5790278</v>
      </c>
      <c r="M541" s="25">
        <f t="shared" si="109"/>
        <v>2021905</v>
      </c>
      <c r="N541" s="25">
        <f t="shared" si="109"/>
        <v>36657112.12</v>
      </c>
      <c r="O541" s="25">
        <f t="shared" si="109"/>
        <v>36449064.12</v>
      </c>
    </row>
  </sheetData>
  <sheetProtection/>
  <mergeCells count="18">
    <mergeCell ref="J5:J6"/>
    <mergeCell ref="K5:K6"/>
    <mergeCell ref="A1:D1"/>
    <mergeCell ref="A2:D2"/>
    <mergeCell ref="A3:A6"/>
    <mergeCell ref="B3:B6"/>
    <mergeCell ref="C3:C6"/>
    <mergeCell ref="D3:D6"/>
    <mergeCell ref="L5:L6"/>
    <mergeCell ref="M5:M6"/>
    <mergeCell ref="O5:O6"/>
    <mergeCell ref="E3:E6"/>
    <mergeCell ref="F3:N3"/>
    <mergeCell ref="F4:F6"/>
    <mergeCell ref="G4:M4"/>
    <mergeCell ref="N4:N6"/>
    <mergeCell ref="G5:G6"/>
    <mergeCell ref="H5:I5"/>
  </mergeCells>
  <printOptions/>
  <pageMargins left="0.3937007874015748" right="0.1968503937007874" top="0.7874015748031497" bottom="0.5905511811023623" header="0.5118110236220472" footer="0.3937007874015748"/>
  <pageSetup horizontalDpi="600" verticalDpi="600" orientation="landscape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C4">
      <selection activeCell="I53" sqref="I53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5.25390625" style="0" customWidth="1"/>
    <col min="4" max="4" width="32.625" style="0" customWidth="1"/>
    <col min="5" max="5" width="11.625" style="0" customWidth="1"/>
    <col min="6" max="6" width="11.00390625" style="0" customWidth="1"/>
    <col min="7" max="7" width="11.25390625" style="0" customWidth="1"/>
    <col min="8" max="8" width="11.75390625" style="0" customWidth="1"/>
    <col min="9" max="9" width="11.00390625" style="0" customWidth="1"/>
    <col min="10" max="10" width="10.875" style="0" customWidth="1"/>
    <col min="11" max="11" width="9.875" style="0" customWidth="1"/>
    <col min="12" max="12" width="11.00390625" style="0" customWidth="1"/>
  </cols>
  <sheetData>
    <row r="1" spans="1:5" ht="53.25" customHeight="1">
      <c r="A1" s="828" t="s">
        <v>546</v>
      </c>
      <c r="B1" s="828"/>
      <c r="C1" s="828"/>
      <c r="D1" s="828"/>
      <c r="E1" s="828"/>
    </row>
    <row r="2" spans="1:5" ht="22.5" customHeight="1" thickBot="1">
      <c r="A2" s="829" t="s">
        <v>53</v>
      </c>
      <c r="B2" s="829"/>
      <c r="C2" s="829"/>
      <c r="D2" s="829"/>
      <c r="E2" s="308"/>
    </row>
    <row r="3" spans="1:12" ht="12.75">
      <c r="A3" s="830" t="s">
        <v>56</v>
      </c>
      <c r="B3" s="833" t="s">
        <v>58</v>
      </c>
      <c r="C3" s="836" t="s">
        <v>298</v>
      </c>
      <c r="D3" s="838" t="s">
        <v>57</v>
      </c>
      <c r="E3" s="840" t="s">
        <v>419</v>
      </c>
      <c r="F3" s="845" t="s">
        <v>93</v>
      </c>
      <c r="G3" s="846"/>
      <c r="H3" s="846"/>
      <c r="I3" s="846"/>
      <c r="J3" s="846"/>
      <c r="K3" s="846"/>
      <c r="L3" s="847"/>
    </row>
    <row r="4" spans="1:12" ht="12.75">
      <c r="A4" s="831"/>
      <c r="B4" s="834"/>
      <c r="C4" s="826"/>
      <c r="D4" s="809"/>
      <c r="E4" s="841"/>
      <c r="F4" s="848" t="s">
        <v>151</v>
      </c>
      <c r="G4" s="850" t="s">
        <v>93</v>
      </c>
      <c r="H4" s="850"/>
      <c r="I4" s="850"/>
      <c r="J4" s="850"/>
      <c r="K4" s="850"/>
      <c r="L4" s="851" t="s">
        <v>152</v>
      </c>
    </row>
    <row r="5" spans="1:12" ht="12.75">
      <c r="A5" s="831"/>
      <c r="B5" s="834"/>
      <c r="C5" s="826"/>
      <c r="D5" s="809"/>
      <c r="E5" s="841"/>
      <c r="F5" s="848"/>
      <c r="G5" s="853" t="s">
        <v>153</v>
      </c>
      <c r="H5" s="850" t="s">
        <v>93</v>
      </c>
      <c r="I5" s="850"/>
      <c r="J5" s="855" t="s">
        <v>154</v>
      </c>
      <c r="K5" s="855" t="s">
        <v>155</v>
      </c>
      <c r="L5" s="851"/>
    </row>
    <row r="6" spans="1:12" ht="57" thickBot="1">
      <c r="A6" s="832"/>
      <c r="B6" s="835"/>
      <c r="C6" s="837"/>
      <c r="D6" s="839"/>
      <c r="E6" s="842"/>
      <c r="F6" s="849"/>
      <c r="G6" s="854"/>
      <c r="H6" s="427" t="s">
        <v>158</v>
      </c>
      <c r="I6" s="427" t="s">
        <v>159</v>
      </c>
      <c r="J6" s="856"/>
      <c r="K6" s="857"/>
      <c r="L6" s="852"/>
    </row>
    <row r="7" spans="1:12" ht="13.5" thickBot="1">
      <c r="A7" s="428">
        <v>1</v>
      </c>
      <c r="B7" s="428">
        <v>2</v>
      </c>
      <c r="C7" s="428"/>
      <c r="D7" s="429">
        <v>3</v>
      </c>
      <c r="E7" s="432">
        <v>4</v>
      </c>
      <c r="F7" s="430">
        <v>5</v>
      </c>
      <c r="G7" s="428">
        <v>6</v>
      </c>
      <c r="H7" s="431">
        <v>7</v>
      </c>
      <c r="I7" s="431">
        <v>8</v>
      </c>
      <c r="J7" s="431">
        <v>9</v>
      </c>
      <c r="K7" s="432">
        <v>10</v>
      </c>
      <c r="L7" s="433">
        <v>11</v>
      </c>
    </row>
    <row r="8" spans="1:12" ht="14.25" thickBot="1" thickTop="1">
      <c r="A8" s="438">
        <v>750</v>
      </c>
      <c r="B8" s="50"/>
      <c r="C8" s="410"/>
      <c r="D8" s="107" t="s">
        <v>95</v>
      </c>
      <c r="E8" s="16">
        <f>SUM(F8+L8)</f>
        <v>215356</v>
      </c>
      <c r="F8" s="53">
        <f aca="true" t="shared" si="0" ref="F8:F45">SUM(G8+K8+J8)</f>
        <v>215356</v>
      </c>
      <c r="G8" s="16">
        <f>SUM(H8:I8)</f>
        <v>215356</v>
      </c>
      <c r="H8" s="16">
        <f>SUM(H9)</f>
        <v>214993</v>
      </c>
      <c r="I8" s="16">
        <f>SUM(I9)</f>
        <v>363</v>
      </c>
      <c r="J8" s="16"/>
      <c r="K8" s="439"/>
      <c r="L8" s="17"/>
    </row>
    <row r="9" spans="1:12" ht="12.75">
      <c r="A9" s="12"/>
      <c r="B9" s="8">
        <v>75011</v>
      </c>
      <c r="C9" s="440"/>
      <c r="D9" s="2" t="s">
        <v>202</v>
      </c>
      <c r="E9" s="40">
        <f>SUM(F9+L9)</f>
        <v>215356</v>
      </c>
      <c r="F9" s="54">
        <f t="shared" si="0"/>
        <v>215356</v>
      </c>
      <c r="G9" s="40">
        <f>SUM(H9:I9)</f>
        <v>215356</v>
      </c>
      <c r="H9" s="40">
        <f>SUM(H10:H14)</f>
        <v>214993</v>
      </c>
      <c r="I9" s="40">
        <f>SUM(I10:I14)</f>
        <v>363</v>
      </c>
      <c r="J9" s="40"/>
      <c r="K9" s="441"/>
      <c r="L9" s="40"/>
    </row>
    <row r="10" spans="1:12" ht="12.75">
      <c r="A10" s="357"/>
      <c r="B10" s="357"/>
      <c r="C10" s="442">
        <v>4010</v>
      </c>
      <c r="D10" s="323" t="s">
        <v>395</v>
      </c>
      <c r="E10" s="44">
        <f aca="true" t="shared" si="1" ref="E10:E47">SUM(F10+L10)</f>
        <v>169043</v>
      </c>
      <c r="F10" s="44">
        <f t="shared" si="0"/>
        <v>169043</v>
      </c>
      <c r="G10" s="48">
        <f>SUM(H10:I10)</f>
        <v>169043</v>
      </c>
      <c r="H10" s="21">
        <v>169043</v>
      </c>
      <c r="I10" s="355"/>
      <c r="J10" s="355"/>
      <c r="K10" s="354"/>
      <c r="L10" s="355"/>
    </row>
    <row r="11" spans="1:12" ht="12.75">
      <c r="A11" s="357"/>
      <c r="B11" s="357"/>
      <c r="C11" s="442">
        <v>4040</v>
      </c>
      <c r="D11" s="323" t="s">
        <v>399</v>
      </c>
      <c r="E11" s="44">
        <f t="shared" si="1"/>
        <v>14362</v>
      </c>
      <c r="F11" s="44">
        <f t="shared" si="0"/>
        <v>14362</v>
      </c>
      <c r="G11" s="48">
        <f aca="true" t="shared" si="2" ref="G11:G48">SUM(H11:I11)</f>
        <v>14362</v>
      </c>
      <c r="H11" s="21">
        <v>14362</v>
      </c>
      <c r="I11" s="355"/>
      <c r="J11" s="355"/>
      <c r="K11" s="354"/>
      <c r="L11" s="355"/>
    </row>
    <row r="12" spans="1:12" ht="12.75">
      <c r="A12" s="357"/>
      <c r="B12" s="357"/>
      <c r="C12" s="442">
        <v>4110</v>
      </c>
      <c r="D12" s="323" t="s">
        <v>396</v>
      </c>
      <c r="E12" s="44">
        <f t="shared" si="1"/>
        <v>27203</v>
      </c>
      <c r="F12" s="44">
        <f t="shared" si="0"/>
        <v>27203</v>
      </c>
      <c r="G12" s="48">
        <f t="shared" si="2"/>
        <v>27203</v>
      </c>
      <c r="H12" s="21">
        <v>27203</v>
      </c>
      <c r="I12" s="355"/>
      <c r="J12" s="355"/>
      <c r="K12" s="354"/>
      <c r="L12" s="355"/>
    </row>
    <row r="13" spans="1:12" ht="12.75">
      <c r="A13" s="357"/>
      <c r="B13" s="357"/>
      <c r="C13" s="442">
        <v>4120</v>
      </c>
      <c r="D13" s="323" t="s">
        <v>400</v>
      </c>
      <c r="E13" s="44">
        <f t="shared" si="1"/>
        <v>4385</v>
      </c>
      <c r="F13" s="44">
        <f t="shared" si="0"/>
        <v>4385</v>
      </c>
      <c r="G13" s="48">
        <f t="shared" si="2"/>
        <v>4385</v>
      </c>
      <c r="H13" s="21">
        <v>4385</v>
      </c>
      <c r="I13" s="355"/>
      <c r="J13" s="355"/>
      <c r="K13" s="354"/>
      <c r="L13" s="355"/>
    </row>
    <row r="14" spans="1:12" ht="13.5" thickBot="1">
      <c r="A14" s="357"/>
      <c r="B14" s="357"/>
      <c r="C14" s="442">
        <v>4210</v>
      </c>
      <c r="D14" s="323" t="s">
        <v>308</v>
      </c>
      <c r="E14" s="44">
        <f t="shared" si="1"/>
        <v>363</v>
      </c>
      <c r="F14" s="44">
        <f t="shared" si="0"/>
        <v>363</v>
      </c>
      <c r="G14" s="48">
        <f t="shared" si="2"/>
        <v>363</v>
      </c>
      <c r="H14" s="355"/>
      <c r="I14" s="21">
        <v>363</v>
      </c>
      <c r="J14" s="355"/>
      <c r="K14" s="354"/>
      <c r="L14" s="355"/>
    </row>
    <row r="15" spans="1:12" ht="34.5" thickBot="1">
      <c r="A15" s="438">
        <v>751</v>
      </c>
      <c r="B15" s="50"/>
      <c r="C15" s="410"/>
      <c r="D15" s="100" t="s">
        <v>405</v>
      </c>
      <c r="E15" s="53">
        <f t="shared" si="1"/>
        <v>5940</v>
      </c>
      <c r="F15" s="53">
        <f t="shared" si="0"/>
        <v>5940</v>
      </c>
      <c r="G15" s="436">
        <f t="shared" si="2"/>
        <v>5940</v>
      </c>
      <c r="H15" s="16">
        <f>SUM(H16)</f>
        <v>5000</v>
      </c>
      <c r="I15" s="16">
        <f>SUM(I16)</f>
        <v>940</v>
      </c>
      <c r="J15" s="16">
        <f>SUM(J16)</f>
        <v>0</v>
      </c>
      <c r="K15" s="443"/>
      <c r="L15" s="444"/>
    </row>
    <row r="16" spans="1:12" ht="25.5" customHeight="1">
      <c r="A16" s="12"/>
      <c r="B16" s="8">
        <v>75101</v>
      </c>
      <c r="C16" s="440"/>
      <c r="D16" s="34" t="s">
        <v>406</v>
      </c>
      <c r="E16" s="54">
        <f t="shared" si="1"/>
        <v>5940</v>
      </c>
      <c r="F16" s="54">
        <f t="shared" si="0"/>
        <v>5940</v>
      </c>
      <c r="G16" s="434">
        <f t="shared" si="2"/>
        <v>5940</v>
      </c>
      <c r="H16" s="54">
        <f>SUM(H17:H19)</f>
        <v>5000</v>
      </c>
      <c r="I16" s="54">
        <f>SUM(I18:I20)</f>
        <v>940</v>
      </c>
      <c r="J16" s="445"/>
      <c r="K16" s="446"/>
      <c r="L16" s="445"/>
    </row>
    <row r="17" spans="1:12" ht="12.75">
      <c r="A17" s="4"/>
      <c r="B17" s="7"/>
      <c r="C17" s="447">
        <v>4010</v>
      </c>
      <c r="D17" s="3" t="s">
        <v>395</v>
      </c>
      <c r="E17" s="44">
        <f>SUM(F17+L17)</f>
        <v>4243</v>
      </c>
      <c r="F17" s="44">
        <f>SUM(G17+K17+J17)</f>
        <v>4243</v>
      </c>
      <c r="G17" s="614">
        <f>SUM(H17:I17)</f>
        <v>4243</v>
      </c>
      <c r="H17" s="48">
        <v>4243</v>
      </c>
      <c r="I17" s="103"/>
      <c r="J17" s="355"/>
      <c r="K17" s="354"/>
      <c r="L17" s="355"/>
    </row>
    <row r="18" spans="1:12" ht="12.75">
      <c r="A18" s="357"/>
      <c r="B18" s="357"/>
      <c r="C18" s="442">
        <v>4110</v>
      </c>
      <c r="D18" s="323" t="s">
        <v>396</v>
      </c>
      <c r="E18" s="44">
        <f t="shared" si="1"/>
        <v>653</v>
      </c>
      <c r="F18" s="44">
        <f t="shared" si="0"/>
        <v>653</v>
      </c>
      <c r="G18" s="614">
        <f t="shared" si="2"/>
        <v>653</v>
      </c>
      <c r="H18" s="48">
        <v>653</v>
      </c>
      <c r="I18" s="613"/>
      <c r="J18" s="355"/>
      <c r="K18" s="354"/>
      <c r="L18" s="355"/>
    </row>
    <row r="19" spans="1:12" ht="12.75">
      <c r="A19" s="357"/>
      <c r="B19" s="357"/>
      <c r="C19" s="442">
        <v>4120</v>
      </c>
      <c r="D19" s="323" t="s">
        <v>400</v>
      </c>
      <c r="E19" s="44">
        <f t="shared" si="1"/>
        <v>104</v>
      </c>
      <c r="F19" s="44">
        <f t="shared" si="0"/>
        <v>104</v>
      </c>
      <c r="G19" s="614">
        <f t="shared" si="2"/>
        <v>104</v>
      </c>
      <c r="H19" s="48">
        <v>104</v>
      </c>
      <c r="I19" s="613"/>
      <c r="J19" s="355"/>
      <c r="K19" s="354"/>
      <c r="L19" s="355"/>
    </row>
    <row r="20" spans="1:12" ht="13.5" thickBot="1">
      <c r="A20" s="357"/>
      <c r="B20" s="357"/>
      <c r="C20" s="442">
        <v>4210</v>
      </c>
      <c r="D20" s="323" t="s">
        <v>308</v>
      </c>
      <c r="E20" s="44">
        <f t="shared" si="1"/>
        <v>940</v>
      </c>
      <c r="F20" s="44">
        <f t="shared" si="0"/>
        <v>940</v>
      </c>
      <c r="G20" s="48">
        <f t="shared" si="2"/>
        <v>940</v>
      </c>
      <c r="H20" s="355"/>
      <c r="I20" s="33">
        <v>940</v>
      </c>
      <c r="J20" s="355"/>
      <c r="K20" s="354"/>
      <c r="L20" s="355"/>
    </row>
    <row r="21" spans="1:12" ht="34.5" thickBot="1">
      <c r="A21" s="438">
        <v>754</v>
      </c>
      <c r="B21" s="449"/>
      <c r="C21" s="410"/>
      <c r="D21" s="100" t="s">
        <v>409</v>
      </c>
      <c r="E21" s="53">
        <f t="shared" si="1"/>
        <v>3100</v>
      </c>
      <c r="F21" s="53">
        <f t="shared" si="0"/>
        <v>3100</v>
      </c>
      <c r="G21" s="436">
        <f t="shared" si="2"/>
        <v>3100</v>
      </c>
      <c r="H21" s="53"/>
      <c r="I21" s="53">
        <f>SUM(I22)</f>
        <v>3100</v>
      </c>
      <c r="J21" s="53"/>
      <c r="K21" s="436"/>
      <c r="L21" s="185"/>
    </row>
    <row r="22" spans="1:12" ht="12.75">
      <c r="A22" s="274"/>
      <c r="B22" s="8">
        <v>75414</v>
      </c>
      <c r="C22" s="440"/>
      <c r="D22" s="2" t="s">
        <v>168</v>
      </c>
      <c r="E22" s="54">
        <f t="shared" si="1"/>
        <v>3100</v>
      </c>
      <c r="F22" s="54">
        <f t="shared" si="0"/>
        <v>3100</v>
      </c>
      <c r="G22" s="434">
        <f t="shared" si="2"/>
        <v>3100</v>
      </c>
      <c r="H22" s="450"/>
      <c r="I22" s="54">
        <f>SUM(I23:I24)</f>
        <v>3100</v>
      </c>
      <c r="J22" s="450"/>
      <c r="K22" s="55"/>
      <c r="L22" s="451"/>
    </row>
    <row r="23" spans="1:12" ht="12.75" hidden="1">
      <c r="A23" s="357"/>
      <c r="B23" s="357"/>
      <c r="C23" s="442">
        <v>4210</v>
      </c>
      <c r="D23" s="323" t="s">
        <v>308</v>
      </c>
      <c r="E23" s="44">
        <f t="shared" si="1"/>
        <v>0</v>
      </c>
      <c r="F23" s="44">
        <f t="shared" si="0"/>
        <v>0</v>
      </c>
      <c r="G23" s="48">
        <f t="shared" si="2"/>
        <v>0</v>
      </c>
      <c r="H23" s="355"/>
      <c r="I23" s="33"/>
      <c r="J23" s="355"/>
      <c r="K23" s="354"/>
      <c r="L23" s="355"/>
    </row>
    <row r="24" spans="1:12" ht="13.5" thickBot="1">
      <c r="A24" s="250"/>
      <c r="B24" s="250"/>
      <c r="C24" s="452">
        <v>4300</v>
      </c>
      <c r="D24" s="437" t="s">
        <v>318</v>
      </c>
      <c r="E24" s="52">
        <f t="shared" si="1"/>
        <v>3100</v>
      </c>
      <c r="F24" s="52">
        <f t="shared" si="0"/>
        <v>3100</v>
      </c>
      <c r="G24" s="57">
        <f t="shared" si="2"/>
        <v>3100</v>
      </c>
      <c r="H24" s="448"/>
      <c r="I24" s="462">
        <v>3100</v>
      </c>
      <c r="J24" s="448"/>
      <c r="K24" s="251"/>
      <c r="L24" s="448"/>
    </row>
    <row r="25" spans="1:12" ht="13.5" thickBot="1">
      <c r="A25" s="453">
        <v>852</v>
      </c>
      <c r="B25" s="454"/>
      <c r="C25" s="410"/>
      <c r="D25" s="107" t="s">
        <v>127</v>
      </c>
      <c r="E25" s="53">
        <f t="shared" si="1"/>
        <v>10843139</v>
      </c>
      <c r="F25" s="53">
        <f t="shared" si="0"/>
        <v>10843139</v>
      </c>
      <c r="G25" s="436">
        <f t="shared" si="2"/>
        <v>403829</v>
      </c>
      <c r="H25" s="16">
        <f>SUM(H28)</f>
        <v>237643</v>
      </c>
      <c r="I25" s="16">
        <f>SUM(I28+I46)</f>
        <v>166186</v>
      </c>
      <c r="J25" s="16">
        <f>SUM(J28)</f>
        <v>10086510</v>
      </c>
      <c r="K25" s="439">
        <f>SUM(K26)</f>
        <v>352800</v>
      </c>
      <c r="L25" s="455"/>
    </row>
    <row r="26" spans="1:12" ht="12.75">
      <c r="A26" s="456"/>
      <c r="B26" s="8">
        <v>85203</v>
      </c>
      <c r="C26" s="440"/>
      <c r="D26" s="2" t="s">
        <v>120</v>
      </c>
      <c r="E26" s="54">
        <f t="shared" si="1"/>
        <v>352800</v>
      </c>
      <c r="F26" s="54">
        <f t="shared" si="0"/>
        <v>352800</v>
      </c>
      <c r="G26" s="434">
        <f t="shared" si="2"/>
        <v>0</v>
      </c>
      <c r="H26" s="450"/>
      <c r="I26" s="450"/>
      <c r="J26" s="450"/>
      <c r="K26" s="441">
        <f>SUM(K27)</f>
        <v>352800</v>
      </c>
      <c r="L26" s="445"/>
    </row>
    <row r="27" spans="1:12" ht="33.75">
      <c r="A27" s="357"/>
      <c r="B27" s="357"/>
      <c r="C27" s="457">
        <v>2810</v>
      </c>
      <c r="D27" s="3" t="s">
        <v>410</v>
      </c>
      <c r="E27" s="44">
        <f t="shared" si="1"/>
        <v>352800</v>
      </c>
      <c r="F27" s="44">
        <f t="shared" si="0"/>
        <v>352800</v>
      </c>
      <c r="G27" s="48">
        <f t="shared" si="2"/>
        <v>0</v>
      </c>
      <c r="H27" s="355"/>
      <c r="I27" s="355"/>
      <c r="J27" s="355"/>
      <c r="K27" s="19">
        <v>352800</v>
      </c>
      <c r="L27" s="355"/>
    </row>
    <row r="28" spans="1:12" ht="45">
      <c r="A28" s="357"/>
      <c r="B28" s="458">
        <v>85212</v>
      </c>
      <c r="C28" s="357"/>
      <c r="D28" s="459" t="s">
        <v>411</v>
      </c>
      <c r="E28" s="123">
        <f t="shared" si="1"/>
        <v>10476355</v>
      </c>
      <c r="F28" s="123">
        <f t="shared" si="0"/>
        <v>10476355</v>
      </c>
      <c r="G28" s="435">
        <f t="shared" si="2"/>
        <v>389845</v>
      </c>
      <c r="H28" s="460">
        <f>SUM(H29:H45)</f>
        <v>237643</v>
      </c>
      <c r="I28" s="460">
        <f>SUM(I29:I45)</f>
        <v>152202</v>
      </c>
      <c r="J28" s="460">
        <f>SUM(J29:J30)</f>
        <v>10086510</v>
      </c>
      <c r="K28" s="461"/>
      <c r="L28" s="460"/>
    </row>
    <row r="29" spans="1:12" ht="22.5">
      <c r="A29" s="357"/>
      <c r="B29" s="357"/>
      <c r="C29" s="442">
        <v>3020</v>
      </c>
      <c r="D29" s="3" t="s">
        <v>412</v>
      </c>
      <c r="E29" s="44">
        <f t="shared" si="1"/>
        <v>3000</v>
      </c>
      <c r="F29" s="44">
        <f t="shared" si="0"/>
        <v>3000</v>
      </c>
      <c r="G29" s="48">
        <f t="shared" si="2"/>
        <v>0</v>
      </c>
      <c r="H29" s="355"/>
      <c r="I29" s="355"/>
      <c r="J29" s="21">
        <v>3000</v>
      </c>
      <c r="K29" s="354"/>
      <c r="L29" s="355"/>
    </row>
    <row r="30" spans="1:12" ht="12.75">
      <c r="A30" s="357"/>
      <c r="B30" s="357"/>
      <c r="C30" s="442">
        <v>3110</v>
      </c>
      <c r="D30" s="323" t="s">
        <v>413</v>
      </c>
      <c r="E30" s="44">
        <f t="shared" si="1"/>
        <v>10083510</v>
      </c>
      <c r="F30" s="44">
        <f t="shared" si="0"/>
        <v>10083510</v>
      </c>
      <c r="G30" s="48">
        <f t="shared" si="2"/>
        <v>0</v>
      </c>
      <c r="H30" s="355"/>
      <c r="I30" s="355"/>
      <c r="J30" s="21">
        <v>10083510</v>
      </c>
      <c r="K30" s="354"/>
      <c r="L30" s="355"/>
    </row>
    <row r="31" spans="1:12" ht="12.75">
      <c r="A31" s="357"/>
      <c r="B31" s="357"/>
      <c r="C31" s="442">
        <v>4010</v>
      </c>
      <c r="D31" s="323" t="s">
        <v>395</v>
      </c>
      <c r="E31" s="44">
        <f t="shared" si="1"/>
        <v>187500</v>
      </c>
      <c r="F31" s="44">
        <f t="shared" si="0"/>
        <v>187500</v>
      </c>
      <c r="G31" s="48">
        <f t="shared" si="2"/>
        <v>187500</v>
      </c>
      <c r="H31" s="21">
        <v>187500</v>
      </c>
      <c r="I31" s="355"/>
      <c r="J31" s="355"/>
      <c r="K31" s="354"/>
      <c r="L31" s="355"/>
    </row>
    <row r="32" spans="1:12" ht="12.75">
      <c r="A32" s="357"/>
      <c r="B32" s="357"/>
      <c r="C32" s="442">
        <v>4040</v>
      </c>
      <c r="D32" s="323" t="s">
        <v>399</v>
      </c>
      <c r="E32" s="44">
        <f t="shared" si="1"/>
        <v>12900</v>
      </c>
      <c r="F32" s="44">
        <f t="shared" si="0"/>
        <v>12900</v>
      </c>
      <c r="G32" s="48">
        <f t="shared" si="2"/>
        <v>12900</v>
      </c>
      <c r="H32" s="21">
        <v>12900</v>
      </c>
      <c r="I32" s="355"/>
      <c r="J32" s="355"/>
      <c r="K32" s="354"/>
      <c r="L32" s="355"/>
    </row>
    <row r="33" spans="1:12" ht="12.75">
      <c r="A33" s="357"/>
      <c r="B33" s="357"/>
      <c r="C33" s="442">
        <v>4110</v>
      </c>
      <c r="D33" s="323" t="s">
        <v>396</v>
      </c>
      <c r="E33" s="44">
        <f t="shared" si="1"/>
        <v>104325</v>
      </c>
      <c r="F33" s="44">
        <f t="shared" si="0"/>
        <v>104325</v>
      </c>
      <c r="G33" s="48">
        <f t="shared" si="2"/>
        <v>104325</v>
      </c>
      <c r="H33" s="21">
        <v>28923</v>
      </c>
      <c r="I33" s="44">
        <v>75402</v>
      </c>
      <c r="J33" s="355"/>
      <c r="K33" s="354"/>
      <c r="L33" s="355"/>
    </row>
    <row r="34" spans="1:12" ht="12.75">
      <c r="A34" s="357"/>
      <c r="B34" s="357"/>
      <c r="C34" s="442">
        <v>4120</v>
      </c>
      <c r="D34" s="323" t="s">
        <v>400</v>
      </c>
      <c r="E34" s="44">
        <f t="shared" si="1"/>
        <v>4320</v>
      </c>
      <c r="F34" s="44">
        <f t="shared" si="0"/>
        <v>4320</v>
      </c>
      <c r="G34" s="48">
        <f t="shared" si="2"/>
        <v>4320</v>
      </c>
      <c r="H34" s="21">
        <v>4320</v>
      </c>
      <c r="I34" s="355"/>
      <c r="J34" s="355"/>
      <c r="K34" s="354"/>
      <c r="L34" s="355"/>
    </row>
    <row r="35" spans="1:12" ht="12.75">
      <c r="A35" s="357"/>
      <c r="B35" s="357"/>
      <c r="C35" s="442">
        <v>4170</v>
      </c>
      <c r="D35" s="323" t="s">
        <v>402</v>
      </c>
      <c r="E35" s="44">
        <f t="shared" si="1"/>
        <v>4000</v>
      </c>
      <c r="F35" s="44">
        <f t="shared" si="0"/>
        <v>4000</v>
      </c>
      <c r="G35" s="48">
        <f t="shared" si="2"/>
        <v>4000</v>
      </c>
      <c r="H35" s="21">
        <v>4000</v>
      </c>
      <c r="I35" s="355"/>
      <c r="J35" s="355"/>
      <c r="K35" s="354"/>
      <c r="L35" s="355"/>
    </row>
    <row r="36" spans="1:12" ht="12.75">
      <c r="A36" s="357"/>
      <c r="B36" s="357"/>
      <c r="C36" s="442">
        <v>4210</v>
      </c>
      <c r="D36" s="323" t="s">
        <v>308</v>
      </c>
      <c r="E36" s="44">
        <f t="shared" si="1"/>
        <v>23300</v>
      </c>
      <c r="F36" s="44">
        <f t="shared" si="0"/>
        <v>23300</v>
      </c>
      <c r="G36" s="48">
        <f t="shared" si="2"/>
        <v>23300</v>
      </c>
      <c r="H36" s="355"/>
      <c r="I36" s="21">
        <v>23300</v>
      </c>
      <c r="J36" s="355"/>
      <c r="K36" s="354"/>
      <c r="L36" s="355"/>
    </row>
    <row r="37" spans="1:12" ht="12.75">
      <c r="A37" s="357"/>
      <c r="B37" s="357"/>
      <c r="C37" s="442">
        <v>4260</v>
      </c>
      <c r="D37" s="323" t="s">
        <v>408</v>
      </c>
      <c r="E37" s="44">
        <f t="shared" si="1"/>
        <v>15000</v>
      </c>
      <c r="F37" s="44">
        <f t="shared" si="0"/>
        <v>15000</v>
      </c>
      <c r="G37" s="48">
        <f t="shared" si="2"/>
        <v>15000</v>
      </c>
      <c r="H37" s="355"/>
      <c r="I37" s="21">
        <v>15000</v>
      </c>
      <c r="J37" s="355"/>
      <c r="K37" s="354"/>
      <c r="L37" s="355"/>
    </row>
    <row r="38" spans="1:12" ht="12.75">
      <c r="A38" s="357"/>
      <c r="B38" s="357"/>
      <c r="C38" s="442">
        <v>4270</v>
      </c>
      <c r="D38" s="323" t="s">
        <v>299</v>
      </c>
      <c r="E38" s="44">
        <f t="shared" si="1"/>
        <v>3000</v>
      </c>
      <c r="F38" s="44">
        <f t="shared" si="0"/>
        <v>3000</v>
      </c>
      <c r="G38" s="48">
        <f t="shared" si="2"/>
        <v>3000</v>
      </c>
      <c r="H38" s="355"/>
      <c r="I38" s="21">
        <v>3000</v>
      </c>
      <c r="J38" s="355"/>
      <c r="K38" s="354"/>
      <c r="L38" s="355"/>
    </row>
    <row r="39" spans="1:12" ht="12.75">
      <c r="A39" s="357"/>
      <c r="B39" s="357"/>
      <c r="C39" s="442">
        <v>4280</v>
      </c>
      <c r="D39" s="323" t="s">
        <v>414</v>
      </c>
      <c r="E39" s="44">
        <f t="shared" si="1"/>
        <v>1200</v>
      </c>
      <c r="F39" s="44">
        <f t="shared" si="0"/>
        <v>1200</v>
      </c>
      <c r="G39" s="48">
        <f t="shared" si="2"/>
        <v>1200</v>
      </c>
      <c r="H39" s="355"/>
      <c r="I39" s="21">
        <v>1200</v>
      </c>
      <c r="J39" s="355"/>
      <c r="K39" s="354"/>
      <c r="L39" s="355"/>
    </row>
    <row r="40" spans="1:12" ht="12.75">
      <c r="A40" s="357"/>
      <c r="B40" s="357"/>
      <c r="C40" s="442">
        <v>4300</v>
      </c>
      <c r="D40" s="323" t="s">
        <v>318</v>
      </c>
      <c r="E40" s="44">
        <f t="shared" si="1"/>
        <v>12300</v>
      </c>
      <c r="F40" s="44">
        <f t="shared" si="0"/>
        <v>12300</v>
      </c>
      <c r="G40" s="48">
        <f t="shared" si="2"/>
        <v>12300</v>
      </c>
      <c r="H40" s="355"/>
      <c r="I40" s="21">
        <v>12300</v>
      </c>
      <c r="J40" s="355"/>
      <c r="K40" s="354"/>
      <c r="L40" s="355"/>
    </row>
    <row r="41" spans="1:12" ht="12.75">
      <c r="A41" s="357"/>
      <c r="B41" s="357"/>
      <c r="C41" s="358">
        <v>4350</v>
      </c>
      <c r="D41" s="323" t="s">
        <v>415</v>
      </c>
      <c r="E41" s="44">
        <f t="shared" si="1"/>
        <v>500</v>
      </c>
      <c r="F41" s="44">
        <f t="shared" si="0"/>
        <v>500</v>
      </c>
      <c r="G41" s="48">
        <f t="shared" si="2"/>
        <v>500</v>
      </c>
      <c r="H41" s="355"/>
      <c r="I41" s="21">
        <v>500</v>
      </c>
      <c r="J41" s="355"/>
      <c r="K41" s="354"/>
      <c r="L41" s="355"/>
    </row>
    <row r="42" spans="1:12" ht="33.75">
      <c r="A42" s="7"/>
      <c r="B42" s="4"/>
      <c r="C42" s="358">
        <v>4370</v>
      </c>
      <c r="D42" s="3" t="s">
        <v>403</v>
      </c>
      <c r="E42" s="44">
        <f t="shared" si="1"/>
        <v>3500</v>
      </c>
      <c r="F42" s="44">
        <f t="shared" si="0"/>
        <v>3500</v>
      </c>
      <c r="G42" s="48">
        <f t="shared" si="2"/>
        <v>3500</v>
      </c>
      <c r="H42" s="4"/>
      <c r="I42" s="21">
        <v>3500</v>
      </c>
      <c r="J42" s="4"/>
      <c r="K42" s="4"/>
      <c r="L42" s="4"/>
    </row>
    <row r="43" spans="1:12" ht="12.75">
      <c r="A43" s="7"/>
      <c r="B43" s="4"/>
      <c r="C43" s="442">
        <v>4410</v>
      </c>
      <c r="D43" s="323" t="s">
        <v>404</v>
      </c>
      <c r="E43" s="44">
        <f t="shared" si="1"/>
        <v>2000</v>
      </c>
      <c r="F43" s="44">
        <f t="shared" si="0"/>
        <v>2000</v>
      </c>
      <c r="G43" s="48">
        <f t="shared" si="2"/>
        <v>2000</v>
      </c>
      <c r="H43" s="4"/>
      <c r="I43" s="21">
        <v>2000</v>
      </c>
      <c r="J43" s="4"/>
      <c r="K43" s="4"/>
      <c r="L43" s="4"/>
    </row>
    <row r="44" spans="1:12" ht="12.75">
      <c r="A44" s="7"/>
      <c r="B44" s="4"/>
      <c r="C44" s="442">
        <v>4440</v>
      </c>
      <c r="D44" s="323" t="s">
        <v>416</v>
      </c>
      <c r="E44" s="44">
        <f t="shared" si="1"/>
        <v>11900</v>
      </c>
      <c r="F44" s="44">
        <f t="shared" si="0"/>
        <v>11900</v>
      </c>
      <c r="G44" s="48">
        <f t="shared" si="2"/>
        <v>11900</v>
      </c>
      <c r="H44" s="4"/>
      <c r="I44" s="21">
        <v>11900</v>
      </c>
      <c r="J44" s="4"/>
      <c r="K44" s="4"/>
      <c r="L44" s="4"/>
    </row>
    <row r="45" spans="1:12" ht="22.5">
      <c r="A45" s="7"/>
      <c r="B45" s="4"/>
      <c r="C45" s="358">
        <v>4700</v>
      </c>
      <c r="D45" s="3" t="s">
        <v>417</v>
      </c>
      <c r="E45" s="44">
        <f t="shared" si="1"/>
        <v>4100</v>
      </c>
      <c r="F45" s="44">
        <f t="shared" si="0"/>
        <v>4100</v>
      </c>
      <c r="G45" s="48">
        <f t="shared" si="2"/>
        <v>4100</v>
      </c>
      <c r="H45" s="4"/>
      <c r="I45" s="21">
        <v>4100</v>
      </c>
      <c r="J45" s="4"/>
      <c r="K45" s="4"/>
      <c r="L45" s="4"/>
    </row>
    <row r="46" spans="1:12" ht="70.5" customHeight="1">
      <c r="A46" s="7"/>
      <c r="B46" s="24">
        <v>85213</v>
      </c>
      <c r="C46" s="358"/>
      <c r="D46" s="110" t="s">
        <v>181</v>
      </c>
      <c r="E46" s="123">
        <f t="shared" si="1"/>
        <v>13984</v>
      </c>
      <c r="F46" s="123">
        <f>SUM(G46+K46+J46)</f>
        <v>13984</v>
      </c>
      <c r="G46" s="435">
        <f t="shared" si="2"/>
        <v>13984</v>
      </c>
      <c r="H46" s="24"/>
      <c r="I46" s="89">
        <f>SUM(I47)</f>
        <v>13984</v>
      </c>
      <c r="J46" s="24"/>
      <c r="K46" s="24"/>
      <c r="L46" s="24"/>
    </row>
    <row r="47" spans="1:12" ht="13.5" thickBot="1">
      <c r="A47" s="7"/>
      <c r="B47" s="4"/>
      <c r="C47" s="442">
        <v>4130</v>
      </c>
      <c r="D47" s="323" t="s">
        <v>418</v>
      </c>
      <c r="E47" s="44">
        <f t="shared" si="1"/>
        <v>13984</v>
      </c>
      <c r="F47" s="44">
        <f>SUM(G47+K47+J47)</f>
        <v>13984</v>
      </c>
      <c r="G47" s="48">
        <f t="shared" si="2"/>
        <v>13984</v>
      </c>
      <c r="H47" s="4"/>
      <c r="I47" s="21">
        <v>13984</v>
      </c>
      <c r="J47" s="4"/>
      <c r="K47" s="4"/>
      <c r="L47" s="4"/>
    </row>
    <row r="48" spans="1:12" ht="13.5" thickBot="1">
      <c r="A48" s="843" t="s">
        <v>196</v>
      </c>
      <c r="B48" s="844"/>
      <c r="C48" s="844"/>
      <c r="D48" s="844"/>
      <c r="E48" s="53">
        <f>SUM(F48+L48)</f>
        <v>11067535</v>
      </c>
      <c r="F48" s="53">
        <f>SUM(G48+K48+J48)</f>
        <v>11067535</v>
      </c>
      <c r="G48" s="436">
        <f t="shared" si="2"/>
        <v>628225</v>
      </c>
      <c r="H48" s="67">
        <f>SUM(H8+H15+H21+H25)</f>
        <v>457636</v>
      </c>
      <c r="I48" s="67">
        <f>SUM(I8+I15+I21+I25)</f>
        <v>170589</v>
      </c>
      <c r="J48" s="67">
        <f>SUM(J8+J25)</f>
        <v>10086510</v>
      </c>
      <c r="K48" s="67">
        <f>SUM(K25)</f>
        <v>352800</v>
      </c>
      <c r="L48" s="463"/>
    </row>
    <row r="54" ht="12.75">
      <c r="J54" t="s">
        <v>60</v>
      </c>
    </row>
  </sheetData>
  <sheetProtection/>
  <mergeCells count="16">
    <mergeCell ref="A48:D48"/>
    <mergeCell ref="F3:L3"/>
    <mergeCell ref="F4:F6"/>
    <mergeCell ref="G4:K4"/>
    <mergeCell ref="L4:L6"/>
    <mergeCell ref="G5:G6"/>
    <mergeCell ref="H5:I5"/>
    <mergeCell ref="J5:J6"/>
    <mergeCell ref="K5:K6"/>
    <mergeCell ref="A1:E1"/>
    <mergeCell ref="A2:D2"/>
    <mergeCell ref="A3:A6"/>
    <mergeCell ref="B3:B6"/>
    <mergeCell ref="C3:C6"/>
    <mergeCell ref="D3:D6"/>
    <mergeCell ref="E3:E6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26">
      <selection activeCell="B58" sqref="B58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4" width="5.25390625" style="0" customWidth="1"/>
    <col min="5" max="5" width="46.875" style="0" customWidth="1"/>
    <col min="6" max="6" width="11.375" style="0" customWidth="1"/>
    <col min="7" max="7" width="12.75390625" style="0" customWidth="1"/>
    <col min="8" max="8" width="10.875" style="0" customWidth="1"/>
    <col min="9" max="9" width="10.75390625" style="0" customWidth="1"/>
    <col min="10" max="10" width="10.875" style="0" customWidth="1"/>
    <col min="11" max="11" width="11.375" style="0" customWidth="1"/>
    <col min="12" max="12" width="16.75390625" style="0" customWidth="1"/>
  </cols>
  <sheetData>
    <row r="1" spans="1:12" ht="54" customHeight="1">
      <c r="A1" s="859" t="s">
        <v>548</v>
      </c>
      <c r="B1" s="859"/>
      <c r="C1" s="859"/>
      <c r="D1" s="859"/>
      <c r="E1" s="859"/>
      <c r="F1" s="5"/>
      <c r="G1" s="5"/>
      <c r="H1" s="5"/>
      <c r="I1" s="5"/>
      <c r="J1" s="5"/>
      <c r="K1" s="5"/>
      <c r="L1" s="5" t="s">
        <v>60</v>
      </c>
    </row>
    <row r="2" spans="1:12" ht="15.75">
      <c r="A2" s="860" t="s">
        <v>547</v>
      </c>
      <c r="B2" s="860"/>
      <c r="C2" s="860"/>
      <c r="D2" s="860"/>
      <c r="E2" s="860"/>
      <c r="F2" s="860"/>
      <c r="G2" s="602"/>
      <c r="H2" s="602"/>
      <c r="I2" s="602"/>
      <c r="J2" s="602"/>
      <c r="K2" s="602"/>
      <c r="L2" s="602"/>
    </row>
    <row r="3" spans="1:12" ht="12.75">
      <c r="A3" s="861" t="s">
        <v>65</v>
      </c>
      <c r="B3" s="861" t="s">
        <v>218</v>
      </c>
      <c r="C3" s="861" t="s">
        <v>219</v>
      </c>
      <c r="D3" s="862" t="s">
        <v>8</v>
      </c>
      <c r="E3" s="858" t="s">
        <v>220</v>
      </c>
      <c r="F3" s="858" t="s">
        <v>221</v>
      </c>
      <c r="G3" s="858" t="s">
        <v>222</v>
      </c>
      <c r="H3" s="858"/>
      <c r="I3" s="858"/>
      <c r="J3" s="858"/>
      <c r="K3" s="858"/>
      <c r="L3" s="858" t="s">
        <v>223</v>
      </c>
    </row>
    <row r="4" spans="1:12" ht="12.75">
      <c r="A4" s="861"/>
      <c r="B4" s="861"/>
      <c r="C4" s="861"/>
      <c r="D4" s="863"/>
      <c r="E4" s="858"/>
      <c r="F4" s="858"/>
      <c r="G4" s="858" t="s">
        <v>9</v>
      </c>
      <c r="H4" s="858" t="s">
        <v>224</v>
      </c>
      <c r="I4" s="858"/>
      <c r="J4" s="858"/>
      <c r="K4" s="858"/>
      <c r="L4" s="858"/>
    </row>
    <row r="5" spans="1:12" ht="12.75">
      <c r="A5" s="861"/>
      <c r="B5" s="861"/>
      <c r="C5" s="861"/>
      <c r="D5" s="863"/>
      <c r="E5" s="858"/>
      <c r="F5" s="858"/>
      <c r="G5" s="858"/>
      <c r="H5" s="858" t="s">
        <v>225</v>
      </c>
      <c r="I5" s="858" t="s">
        <v>484</v>
      </c>
      <c r="J5" s="858" t="s">
        <v>226</v>
      </c>
      <c r="K5" s="858" t="s">
        <v>227</v>
      </c>
      <c r="L5" s="858"/>
    </row>
    <row r="6" spans="1:12" ht="12.75">
      <c r="A6" s="861"/>
      <c r="B6" s="861"/>
      <c r="C6" s="861"/>
      <c r="D6" s="863"/>
      <c r="E6" s="858"/>
      <c r="F6" s="858"/>
      <c r="G6" s="858"/>
      <c r="H6" s="858"/>
      <c r="I6" s="858"/>
      <c r="J6" s="858"/>
      <c r="K6" s="858"/>
      <c r="L6" s="858"/>
    </row>
    <row r="7" spans="1:12" ht="21.75" customHeight="1">
      <c r="A7" s="861"/>
      <c r="B7" s="861"/>
      <c r="C7" s="861"/>
      <c r="D7" s="864"/>
      <c r="E7" s="858"/>
      <c r="F7" s="858"/>
      <c r="G7" s="858"/>
      <c r="H7" s="858"/>
      <c r="I7" s="858"/>
      <c r="J7" s="858"/>
      <c r="K7" s="858"/>
      <c r="L7" s="858"/>
    </row>
    <row r="8" spans="1:12" ht="13.5" thickBot="1">
      <c r="A8" s="35">
        <v>1</v>
      </c>
      <c r="B8" s="35">
        <v>2</v>
      </c>
      <c r="C8" s="35">
        <v>3</v>
      </c>
      <c r="D8" s="35"/>
      <c r="E8" s="35">
        <v>5</v>
      </c>
      <c r="F8" s="35">
        <v>7</v>
      </c>
      <c r="G8" s="35">
        <v>8</v>
      </c>
      <c r="H8" s="35">
        <v>9</v>
      </c>
      <c r="I8" s="35">
        <v>10</v>
      </c>
      <c r="J8" s="36">
        <v>11</v>
      </c>
      <c r="K8" s="36">
        <v>12</v>
      </c>
      <c r="L8" s="36">
        <v>13</v>
      </c>
    </row>
    <row r="9" spans="1:12" ht="13.5" thickBot="1">
      <c r="A9" s="15" t="s">
        <v>66</v>
      </c>
      <c r="B9" s="15">
        <v>600</v>
      </c>
      <c r="C9" s="15"/>
      <c r="D9" s="98"/>
      <c r="E9" s="15" t="s">
        <v>228</v>
      </c>
      <c r="F9" s="101">
        <f aca="true" t="shared" si="0" ref="F9:K9">SUM(F10)</f>
        <v>36693144</v>
      </c>
      <c r="G9" s="16">
        <f t="shared" si="0"/>
        <v>10844608.190000001</v>
      </c>
      <c r="H9" s="16">
        <f t="shared" si="0"/>
        <v>8649202.030000001</v>
      </c>
      <c r="I9" s="16">
        <f t="shared" si="0"/>
        <v>0</v>
      </c>
      <c r="J9" s="37">
        <f t="shared" si="0"/>
        <v>0</v>
      </c>
      <c r="K9" s="17">
        <f t="shared" si="0"/>
        <v>2195406.16</v>
      </c>
      <c r="L9" s="38"/>
    </row>
    <row r="10" spans="1:12" ht="12.75">
      <c r="A10" s="39"/>
      <c r="B10" s="39"/>
      <c r="C10" s="39">
        <v>60016</v>
      </c>
      <c r="D10" s="99"/>
      <c r="E10" s="549" t="s">
        <v>229</v>
      </c>
      <c r="F10" s="40">
        <f>SUM(F11+F13+F14)+SUM(F25:F32)</f>
        <v>36693144</v>
      </c>
      <c r="G10" s="40">
        <f>SUM(H10:K10)</f>
        <v>10844608.190000001</v>
      </c>
      <c r="H10" s="40">
        <f>SUM(H11+H13+H14)+SUM(H21:H32)</f>
        <v>8649202.030000001</v>
      </c>
      <c r="I10" s="40">
        <f>SUM(I11+I13+I14)+SUM(I25:I32)</f>
        <v>0</v>
      </c>
      <c r="J10" s="40">
        <f>SUM(J11+J13+J14)+SUM(J25:J32)</f>
        <v>0</v>
      </c>
      <c r="K10" s="40">
        <f>SUM(K12)</f>
        <v>2195406.16</v>
      </c>
      <c r="L10" s="6"/>
    </row>
    <row r="11" spans="1:12" ht="33.75">
      <c r="A11" s="39"/>
      <c r="B11" s="39"/>
      <c r="C11" s="39"/>
      <c r="D11" s="537">
        <v>6050</v>
      </c>
      <c r="E11" s="18" t="s">
        <v>230</v>
      </c>
      <c r="F11" s="102">
        <f>8593708+300000+111777+40176+1000000+100000+750000-25000</f>
        <v>10870661</v>
      </c>
      <c r="G11" s="9">
        <f>SUM(H11:K11)</f>
        <v>475000</v>
      </c>
      <c r="H11" s="9">
        <v>475000</v>
      </c>
      <c r="I11" s="9"/>
      <c r="J11" s="41"/>
      <c r="K11" s="9"/>
      <c r="L11" s="42" t="s">
        <v>231</v>
      </c>
    </row>
    <row r="12" spans="1:12" ht="33.75">
      <c r="A12" s="39"/>
      <c r="B12" s="39"/>
      <c r="C12" s="39"/>
      <c r="D12" s="537">
        <v>6057</v>
      </c>
      <c r="E12" s="18" t="s">
        <v>230</v>
      </c>
      <c r="F12" s="102"/>
      <c r="G12" s="9">
        <f>SUM(H12:K12)</f>
        <v>2195406.16</v>
      </c>
      <c r="H12" s="9"/>
      <c r="I12" s="9"/>
      <c r="J12" s="41"/>
      <c r="K12" s="9">
        <v>2195406.16</v>
      </c>
      <c r="L12" s="42"/>
    </row>
    <row r="13" spans="1:12" ht="33.75">
      <c r="A13" s="39"/>
      <c r="B13" s="39"/>
      <c r="C13" s="39"/>
      <c r="D13" s="537">
        <v>6059</v>
      </c>
      <c r="E13" s="18" t="s">
        <v>230</v>
      </c>
      <c r="F13" s="102"/>
      <c r="G13" s="9">
        <f>SUM(H13:K13)</f>
        <v>731802.03</v>
      </c>
      <c r="H13" s="9">
        <v>731802.03</v>
      </c>
      <c r="I13" s="9"/>
      <c r="J13" s="41"/>
      <c r="K13" s="9"/>
      <c r="L13" s="42"/>
    </row>
    <row r="14" spans="1:12" ht="12.75">
      <c r="A14" s="43"/>
      <c r="B14" s="43"/>
      <c r="C14" s="43"/>
      <c r="D14" s="540">
        <v>6050</v>
      </c>
      <c r="E14" s="307" t="s">
        <v>232</v>
      </c>
      <c r="F14" s="103">
        <f>SUM(F17:F20)</f>
        <v>18505083</v>
      </c>
      <c r="G14" s="44">
        <f>SUM(H14:K14)</f>
        <v>5425000</v>
      </c>
      <c r="H14" s="44">
        <f>SUM(H16:H20)</f>
        <v>5425000</v>
      </c>
      <c r="I14" s="44">
        <f>SUM(I17:I17)</f>
        <v>0</v>
      </c>
      <c r="J14" s="45"/>
      <c r="K14" s="45"/>
      <c r="L14" s="42" t="s">
        <v>231</v>
      </c>
    </row>
    <row r="15" spans="1:12" ht="12.75">
      <c r="A15" s="43"/>
      <c r="B15" s="43"/>
      <c r="C15" s="43"/>
      <c r="D15" s="540"/>
      <c r="E15" s="307" t="s">
        <v>93</v>
      </c>
      <c r="F15" s="104"/>
      <c r="G15" s="46"/>
      <c r="H15" s="46"/>
      <c r="I15" s="46"/>
      <c r="J15" s="45"/>
      <c r="K15" s="45"/>
      <c r="L15" s="6"/>
    </row>
    <row r="16" spans="1:12" ht="29.25">
      <c r="A16" s="43"/>
      <c r="B16" s="43"/>
      <c r="C16" s="43"/>
      <c r="D16" s="540"/>
      <c r="E16" s="539" t="s">
        <v>501</v>
      </c>
      <c r="F16" s="103">
        <v>4431000</v>
      </c>
      <c r="G16" s="44">
        <f aca="true" t="shared" si="1" ref="G16:G24">SUM(H16:K16)</f>
        <v>261000</v>
      </c>
      <c r="H16" s="44">
        <v>261000</v>
      </c>
      <c r="I16" s="46"/>
      <c r="J16" s="45"/>
      <c r="K16" s="45"/>
      <c r="L16" s="538"/>
    </row>
    <row r="17" spans="1:12" ht="39">
      <c r="A17" s="43"/>
      <c r="B17" s="43"/>
      <c r="C17" s="43"/>
      <c r="D17" s="540"/>
      <c r="E17" s="539" t="s">
        <v>293</v>
      </c>
      <c r="F17" s="103">
        <f>8046000+26000</f>
        <v>8072000</v>
      </c>
      <c r="G17" s="44">
        <f t="shared" si="1"/>
        <v>478000</v>
      </c>
      <c r="H17" s="44">
        <v>478000</v>
      </c>
      <c r="I17" s="44"/>
      <c r="J17" s="45"/>
      <c r="K17" s="45" t="s">
        <v>60</v>
      </c>
      <c r="L17" s="47" t="s">
        <v>60</v>
      </c>
    </row>
    <row r="18" spans="1:12" ht="19.5">
      <c r="A18" s="43"/>
      <c r="B18" s="43"/>
      <c r="C18" s="43"/>
      <c r="D18" s="540"/>
      <c r="E18" s="722" t="s">
        <v>487</v>
      </c>
      <c r="F18" s="103">
        <v>5425000</v>
      </c>
      <c r="G18" s="44">
        <f t="shared" si="1"/>
        <v>2676000</v>
      </c>
      <c r="H18" s="44">
        <v>2676000</v>
      </c>
      <c r="I18" s="44"/>
      <c r="J18" s="45"/>
      <c r="K18" s="45"/>
      <c r="L18" s="47"/>
    </row>
    <row r="19" spans="1:12" ht="15.75" customHeight="1">
      <c r="A19" s="43"/>
      <c r="B19" s="43"/>
      <c r="C19" s="43"/>
      <c r="D19" s="540"/>
      <c r="E19" s="722" t="s">
        <v>485</v>
      </c>
      <c r="F19" s="103">
        <v>2388083</v>
      </c>
      <c r="G19" s="44">
        <f t="shared" si="1"/>
        <v>1890000</v>
      </c>
      <c r="H19" s="44">
        <v>1890000</v>
      </c>
      <c r="I19" s="44"/>
      <c r="J19" s="45"/>
      <c r="K19" s="45"/>
      <c r="L19" s="47"/>
    </row>
    <row r="20" spans="1:12" ht="20.25" customHeight="1">
      <c r="A20" s="43"/>
      <c r="B20" s="43"/>
      <c r="C20" s="43"/>
      <c r="D20" s="540"/>
      <c r="E20" s="722" t="s">
        <v>486</v>
      </c>
      <c r="F20" s="103">
        <v>2620000</v>
      </c>
      <c r="G20" s="44">
        <f t="shared" si="1"/>
        <v>120000</v>
      </c>
      <c r="H20" s="44">
        <v>120000</v>
      </c>
      <c r="I20" s="44"/>
      <c r="J20" s="45"/>
      <c r="K20" s="45"/>
      <c r="L20" s="47"/>
    </row>
    <row r="21" spans="1:12" ht="16.5" customHeight="1">
      <c r="A21" s="43"/>
      <c r="B21" s="43"/>
      <c r="C21" s="43"/>
      <c r="D21" s="540">
        <v>6050</v>
      </c>
      <c r="E21" s="545" t="s">
        <v>488</v>
      </c>
      <c r="F21" s="103">
        <v>930000</v>
      </c>
      <c r="G21" s="44">
        <f t="shared" si="1"/>
        <v>60000</v>
      </c>
      <c r="H21" s="44">
        <v>60000</v>
      </c>
      <c r="I21" s="44"/>
      <c r="J21" s="45"/>
      <c r="K21" s="45"/>
      <c r="L21" s="56" t="s">
        <v>231</v>
      </c>
    </row>
    <row r="22" spans="1:12" ht="16.5" customHeight="1">
      <c r="A22" s="43"/>
      <c r="B22" s="43"/>
      <c r="C22" s="43"/>
      <c r="D22" s="540">
        <v>6050</v>
      </c>
      <c r="E22" s="545" t="s">
        <v>489</v>
      </c>
      <c r="F22" s="103">
        <v>573400</v>
      </c>
      <c r="G22" s="44">
        <f t="shared" si="1"/>
        <v>30000</v>
      </c>
      <c r="H22" s="44">
        <v>30000</v>
      </c>
      <c r="I22" s="44"/>
      <c r="J22" s="45"/>
      <c r="K22" s="45"/>
      <c r="L22" s="56" t="s">
        <v>231</v>
      </c>
    </row>
    <row r="23" spans="1:12" ht="16.5" customHeight="1">
      <c r="A23" s="43"/>
      <c r="B23" s="43"/>
      <c r="C23" s="43"/>
      <c r="D23" s="540">
        <v>6050</v>
      </c>
      <c r="E23" s="18" t="s">
        <v>490</v>
      </c>
      <c r="F23" s="103">
        <v>724072</v>
      </c>
      <c r="G23" s="44">
        <f t="shared" si="1"/>
        <v>170000</v>
      </c>
      <c r="H23" s="44">
        <v>170000</v>
      </c>
      <c r="I23" s="44"/>
      <c r="J23" s="45"/>
      <c r="K23" s="45"/>
      <c r="L23" s="56" t="s">
        <v>231</v>
      </c>
    </row>
    <row r="24" spans="1:12" ht="16.5" customHeight="1">
      <c r="A24" s="43"/>
      <c r="B24" s="43"/>
      <c r="C24" s="43"/>
      <c r="D24" s="540">
        <v>6050</v>
      </c>
      <c r="E24" s="18" t="s">
        <v>494</v>
      </c>
      <c r="F24" s="103">
        <v>520000</v>
      </c>
      <c r="G24" s="44">
        <f t="shared" si="1"/>
        <v>110000</v>
      </c>
      <c r="H24" s="44">
        <v>110000</v>
      </c>
      <c r="I24" s="44"/>
      <c r="J24" s="45"/>
      <c r="K24" s="45"/>
      <c r="L24" s="56" t="s">
        <v>231</v>
      </c>
    </row>
    <row r="25" spans="1:12" ht="22.5">
      <c r="A25" s="43"/>
      <c r="B25" s="43"/>
      <c r="C25" s="43"/>
      <c r="D25" s="530">
        <v>6050</v>
      </c>
      <c r="E25" s="545" t="s">
        <v>297</v>
      </c>
      <c r="F25" s="44">
        <f>787000+50000</f>
        <v>837000</v>
      </c>
      <c r="G25" s="44">
        <f>SUM(H25:I25)</f>
        <v>537000</v>
      </c>
      <c r="H25" s="44">
        <f>487000+50000</f>
        <v>537000</v>
      </c>
      <c r="I25" s="46"/>
      <c r="J25" s="44" t="s">
        <v>60</v>
      </c>
      <c r="K25" s="45"/>
      <c r="L25" s="56" t="s">
        <v>231</v>
      </c>
    </row>
    <row r="26" spans="1:12" ht="22.5">
      <c r="A26" s="43"/>
      <c r="B26" s="43"/>
      <c r="C26" s="43"/>
      <c r="D26" s="542">
        <v>6050</v>
      </c>
      <c r="E26" s="545" t="s">
        <v>10</v>
      </c>
      <c r="F26" s="113">
        <v>293000</v>
      </c>
      <c r="G26" s="44">
        <f aca="true" t="shared" si="2" ref="G26:G32">SUM(H26:I26)</f>
        <v>273000</v>
      </c>
      <c r="H26" s="72">
        <v>273000</v>
      </c>
      <c r="I26" s="46"/>
      <c r="J26" s="44"/>
      <c r="K26" s="45"/>
      <c r="L26" s="56" t="s">
        <v>231</v>
      </c>
    </row>
    <row r="27" spans="1:12" ht="22.5">
      <c r="A27" s="43"/>
      <c r="B27" s="43"/>
      <c r="C27" s="43"/>
      <c r="D27" s="542">
        <v>6050</v>
      </c>
      <c r="E27" s="545" t="s">
        <v>11</v>
      </c>
      <c r="F27" s="113">
        <v>410400</v>
      </c>
      <c r="G27" s="44">
        <f t="shared" si="2"/>
        <v>60400</v>
      </c>
      <c r="H27" s="72">
        <v>60400</v>
      </c>
      <c r="I27" s="46"/>
      <c r="J27" s="44"/>
      <c r="K27" s="45"/>
      <c r="L27" s="56" t="s">
        <v>231</v>
      </c>
    </row>
    <row r="28" spans="1:12" ht="14.25" customHeight="1">
      <c r="A28" s="43"/>
      <c r="B28" s="43"/>
      <c r="C28" s="43"/>
      <c r="D28" s="542">
        <v>6050</v>
      </c>
      <c r="E28" s="18" t="s">
        <v>497</v>
      </c>
      <c r="F28" s="113">
        <v>525000</v>
      </c>
      <c r="G28" s="44">
        <f t="shared" si="2"/>
        <v>525000</v>
      </c>
      <c r="H28" s="72">
        <v>525000</v>
      </c>
      <c r="I28" s="46"/>
      <c r="J28" s="44" t="s">
        <v>60</v>
      </c>
      <c r="K28" s="45"/>
      <c r="L28" s="56" t="s">
        <v>231</v>
      </c>
    </row>
    <row r="29" spans="1:12" ht="18.75" customHeight="1">
      <c r="A29" s="43"/>
      <c r="B29" s="43"/>
      <c r="C29" s="43"/>
      <c r="D29" s="542">
        <v>6050</v>
      </c>
      <c r="E29" s="545" t="s">
        <v>12</v>
      </c>
      <c r="F29" s="113">
        <v>1045000</v>
      </c>
      <c r="G29" s="44">
        <f t="shared" si="2"/>
        <v>45000</v>
      </c>
      <c r="H29" s="72">
        <v>45000</v>
      </c>
      <c r="I29" s="46"/>
      <c r="J29" s="44"/>
      <c r="K29" s="45"/>
      <c r="L29" s="56" t="s">
        <v>231</v>
      </c>
    </row>
    <row r="30" spans="1:12" ht="22.5">
      <c r="A30" s="43"/>
      <c r="B30" s="43"/>
      <c r="C30" s="43"/>
      <c r="D30" s="542">
        <v>6050</v>
      </c>
      <c r="E30" s="545" t="s">
        <v>13</v>
      </c>
      <c r="F30" s="113">
        <v>2570000</v>
      </c>
      <c r="G30" s="44">
        <f t="shared" si="2"/>
        <v>70000</v>
      </c>
      <c r="H30" s="72">
        <v>70000</v>
      </c>
      <c r="I30" s="46"/>
      <c r="J30" s="44"/>
      <c r="K30" s="45"/>
      <c r="L30" s="56" t="s">
        <v>231</v>
      </c>
    </row>
    <row r="31" spans="1:12" ht="22.5">
      <c r="A31" s="43"/>
      <c r="B31" s="43"/>
      <c r="C31" s="43"/>
      <c r="D31" s="542">
        <v>6050</v>
      </c>
      <c r="E31" s="545" t="s">
        <v>14</v>
      </c>
      <c r="F31" s="113">
        <v>1552000</v>
      </c>
      <c r="G31" s="44">
        <f t="shared" si="2"/>
        <v>52000</v>
      </c>
      <c r="H31" s="72">
        <v>52000</v>
      </c>
      <c r="I31" s="46"/>
      <c r="J31" s="44"/>
      <c r="K31" s="45"/>
      <c r="L31" s="56" t="s">
        <v>231</v>
      </c>
    </row>
    <row r="32" spans="1:12" ht="13.5" thickBot="1">
      <c r="A32" s="43"/>
      <c r="B32" s="43"/>
      <c r="C32" s="43"/>
      <c r="D32" s="542">
        <v>6050</v>
      </c>
      <c r="E32" s="545" t="s">
        <v>15</v>
      </c>
      <c r="F32" s="113">
        <v>85000</v>
      </c>
      <c r="G32" s="44">
        <f t="shared" si="2"/>
        <v>85000</v>
      </c>
      <c r="H32" s="72">
        <v>85000</v>
      </c>
      <c r="I32" s="46"/>
      <c r="J32" s="44"/>
      <c r="K32" s="45"/>
      <c r="L32" s="56" t="s">
        <v>231</v>
      </c>
    </row>
    <row r="33" spans="1:12" ht="13.5" thickBot="1">
      <c r="A33" s="80" t="s">
        <v>67</v>
      </c>
      <c r="B33" s="49">
        <v>700</v>
      </c>
      <c r="C33" s="50"/>
      <c r="D33" s="107"/>
      <c r="E33" s="555" t="s">
        <v>91</v>
      </c>
      <c r="F33" s="111">
        <f>SUM(F34+F36)</f>
        <v>1106800</v>
      </c>
      <c r="G33" s="67">
        <f>SUM(G34+G36)</f>
        <v>967000</v>
      </c>
      <c r="H33" s="67">
        <f>SUM(H34+H36)</f>
        <v>967000</v>
      </c>
      <c r="I33" s="67">
        <f>SUM(I34)</f>
        <v>0</v>
      </c>
      <c r="J33" s="67">
        <f>SUM(J34)</f>
        <v>0</v>
      </c>
      <c r="K33" s="77">
        <f>SUM(K34)</f>
        <v>0</v>
      </c>
      <c r="L33" s="78"/>
    </row>
    <row r="34" spans="1:12" ht="12.75">
      <c r="A34" s="55"/>
      <c r="B34" s="8"/>
      <c r="C34" s="8">
        <v>70005</v>
      </c>
      <c r="D34" s="2"/>
      <c r="E34" s="327" t="s">
        <v>121</v>
      </c>
      <c r="F34" s="112">
        <f aca="true" t="shared" si="3" ref="F34:K34">SUM(F35:F35)</f>
        <v>300000</v>
      </c>
      <c r="G34" s="69">
        <f t="shared" si="3"/>
        <v>300000</v>
      </c>
      <c r="H34" s="69">
        <f t="shared" si="3"/>
        <v>300000</v>
      </c>
      <c r="I34" s="69">
        <f t="shared" si="3"/>
        <v>0</v>
      </c>
      <c r="J34" s="69">
        <f t="shared" si="3"/>
        <v>0</v>
      </c>
      <c r="K34" s="69">
        <f t="shared" si="3"/>
        <v>0</v>
      </c>
      <c r="L34" s="70"/>
    </row>
    <row r="35" spans="1:12" ht="12.75">
      <c r="A35" s="71"/>
      <c r="B35" s="7"/>
      <c r="C35" s="7"/>
      <c r="D35" s="550">
        <v>6060</v>
      </c>
      <c r="E35" s="556" t="s">
        <v>235</v>
      </c>
      <c r="F35" s="113">
        <f>SUM(G35)</f>
        <v>300000</v>
      </c>
      <c r="G35" s="72">
        <f aca="true" t="shared" si="4" ref="G35:G48">SUM(H35:K35)</f>
        <v>300000</v>
      </c>
      <c r="H35" s="72">
        <v>300000</v>
      </c>
      <c r="I35" s="72"/>
      <c r="J35" s="72"/>
      <c r="K35" s="72"/>
      <c r="L35" s="79" t="s">
        <v>231</v>
      </c>
    </row>
    <row r="36" spans="1:12" ht="13.5" customHeight="1">
      <c r="A36" s="71"/>
      <c r="B36" s="7"/>
      <c r="C36" s="7">
        <v>70095</v>
      </c>
      <c r="D36" s="534"/>
      <c r="E36" s="557" t="s">
        <v>90</v>
      </c>
      <c r="F36" s="115">
        <f>SUM(F37:F40)</f>
        <v>806800</v>
      </c>
      <c r="G36" s="89">
        <f t="shared" si="4"/>
        <v>667000</v>
      </c>
      <c r="H36" s="89">
        <f>SUM(H37:H40)</f>
        <v>667000</v>
      </c>
      <c r="I36" s="89"/>
      <c r="J36" s="89"/>
      <c r="K36" s="89"/>
      <c r="L36" s="184"/>
    </row>
    <row r="37" spans="1:12" ht="22.5">
      <c r="A37" s="260"/>
      <c r="B37" s="261"/>
      <c r="C37" s="7"/>
      <c r="D37" s="550">
        <v>6050</v>
      </c>
      <c r="E37" s="556" t="s">
        <v>498</v>
      </c>
      <c r="F37" s="113">
        <v>405000</v>
      </c>
      <c r="G37" s="72">
        <f t="shared" si="4"/>
        <v>370000</v>
      </c>
      <c r="H37" s="72">
        <v>370000</v>
      </c>
      <c r="I37" s="72"/>
      <c r="J37" s="72"/>
      <c r="K37" s="84"/>
      <c r="L37" s="79" t="s">
        <v>231</v>
      </c>
    </row>
    <row r="38" spans="1:12" ht="22.5">
      <c r="A38" s="260"/>
      <c r="B38" s="261"/>
      <c r="C38" s="7"/>
      <c r="D38" s="542">
        <v>6050</v>
      </c>
      <c r="E38" s="556" t="s">
        <v>314</v>
      </c>
      <c r="F38" s="113">
        <v>270700</v>
      </c>
      <c r="G38" s="72">
        <f t="shared" si="4"/>
        <v>178000</v>
      </c>
      <c r="H38" s="72">
        <v>178000</v>
      </c>
      <c r="I38" s="72"/>
      <c r="J38" s="72"/>
      <c r="K38" s="84"/>
      <c r="L38" s="79" t="s">
        <v>231</v>
      </c>
    </row>
    <row r="39" spans="1:12" ht="22.5">
      <c r="A39" s="260"/>
      <c r="B39" s="261"/>
      <c r="C39" s="7"/>
      <c r="D39" s="542">
        <v>6050</v>
      </c>
      <c r="E39" s="556" t="s">
        <v>315</v>
      </c>
      <c r="F39" s="113">
        <v>112100</v>
      </c>
      <c r="G39" s="72">
        <f t="shared" si="4"/>
        <v>100000</v>
      </c>
      <c r="H39" s="72">
        <v>100000</v>
      </c>
      <c r="I39" s="72"/>
      <c r="J39" s="72"/>
      <c r="K39" s="72"/>
      <c r="L39" s="79" t="s">
        <v>231</v>
      </c>
    </row>
    <row r="40" spans="1:12" ht="23.25" thickBot="1">
      <c r="A40" s="730"/>
      <c r="B40" s="731"/>
      <c r="C40" s="732"/>
      <c r="D40" s="544">
        <v>6050</v>
      </c>
      <c r="E40" s="559" t="s">
        <v>499</v>
      </c>
      <c r="F40" s="117">
        <v>19000</v>
      </c>
      <c r="G40" s="75">
        <f t="shared" si="4"/>
        <v>19000</v>
      </c>
      <c r="H40" s="75">
        <v>19000</v>
      </c>
      <c r="I40" s="75"/>
      <c r="J40" s="75"/>
      <c r="K40" s="84"/>
      <c r="L40" s="79" t="s">
        <v>231</v>
      </c>
    </row>
    <row r="41" spans="1:12" ht="13.5" thickBot="1">
      <c r="A41" s="80" t="s">
        <v>69</v>
      </c>
      <c r="B41" s="50">
        <v>750</v>
      </c>
      <c r="C41" s="50"/>
      <c r="D41" s="743"/>
      <c r="E41" s="555" t="s">
        <v>95</v>
      </c>
      <c r="F41" s="67">
        <f>SUM(F42)</f>
        <v>14000</v>
      </c>
      <c r="G41" s="67">
        <f>SUM(G42)</f>
        <v>5125</v>
      </c>
      <c r="H41" s="67">
        <f>SUM(H42)</f>
        <v>5125</v>
      </c>
      <c r="I41" s="67"/>
      <c r="J41" s="67"/>
      <c r="K41" s="77"/>
      <c r="L41" s="733"/>
    </row>
    <row r="42" spans="1:12" ht="12.75">
      <c r="A42" s="82"/>
      <c r="B42" s="8"/>
      <c r="C42" s="8">
        <v>75023</v>
      </c>
      <c r="D42" s="55"/>
      <c r="E42" s="558" t="s">
        <v>97</v>
      </c>
      <c r="F42" s="69">
        <f>SUM(F43:F44)</f>
        <v>14000</v>
      </c>
      <c r="G42" s="69">
        <f>SUM(H42:K42)</f>
        <v>5125</v>
      </c>
      <c r="H42" s="69">
        <f>SUM(H43:H44)</f>
        <v>5125</v>
      </c>
      <c r="I42" s="69"/>
      <c r="J42" s="69"/>
      <c r="K42" s="69"/>
      <c r="L42" s="56"/>
    </row>
    <row r="43" spans="1:12" ht="22.5">
      <c r="A43" s="71"/>
      <c r="B43" s="7"/>
      <c r="C43" s="7"/>
      <c r="D43" s="262"/>
      <c r="E43" s="552" t="s">
        <v>505</v>
      </c>
      <c r="F43" s="72">
        <v>5000</v>
      </c>
      <c r="G43" s="72">
        <f>SUM(H43:K43)</f>
        <v>5000</v>
      </c>
      <c r="H43" s="72">
        <v>5000</v>
      </c>
      <c r="I43" s="72"/>
      <c r="J43" s="72"/>
      <c r="K43" s="72"/>
      <c r="L43" s="56" t="s">
        <v>231</v>
      </c>
    </row>
    <row r="44" spans="1:12" ht="23.25" thickBot="1">
      <c r="A44" s="83"/>
      <c r="B44" s="294"/>
      <c r="C44" s="294"/>
      <c r="D44" s="744"/>
      <c r="E44" s="739" t="s">
        <v>506</v>
      </c>
      <c r="F44" s="84">
        <v>9000</v>
      </c>
      <c r="G44" s="84">
        <f>SUM(H44:K44)</f>
        <v>125</v>
      </c>
      <c r="H44" s="84">
        <v>125</v>
      </c>
      <c r="I44" s="84"/>
      <c r="J44" s="84"/>
      <c r="K44" s="84"/>
      <c r="L44" s="56" t="s">
        <v>231</v>
      </c>
    </row>
    <row r="45" spans="1:12" ht="23.25" thickBot="1">
      <c r="A45" s="80" t="s">
        <v>68</v>
      </c>
      <c r="B45" s="94">
        <v>754</v>
      </c>
      <c r="C45" s="563"/>
      <c r="D45" s="564"/>
      <c r="E45" s="32" t="s">
        <v>205</v>
      </c>
      <c r="F45" s="111">
        <f>SUM(F46)</f>
        <v>611953</v>
      </c>
      <c r="G45" s="67">
        <f t="shared" si="4"/>
        <v>26642</v>
      </c>
      <c r="H45" s="67">
        <f>SUM(H46)</f>
        <v>26642</v>
      </c>
      <c r="I45" s="67"/>
      <c r="J45" s="67"/>
      <c r="K45" s="77"/>
      <c r="L45" s="338"/>
    </row>
    <row r="46" spans="1:12" ht="12.75">
      <c r="A46" s="82"/>
      <c r="B46" s="51"/>
      <c r="C46" s="65">
        <v>75412</v>
      </c>
      <c r="D46" s="532"/>
      <c r="E46" s="548" t="s">
        <v>167</v>
      </c>
      <c r="F46" s="112">
        <f>SUM(F47:F48)</f>
        <v>611953</v>
      </c>
      <c r="G46" s="69">
        <f t="shared" si="4"/>
        <v>26642</v>
      </c>
      <c r="H46" s="69">
        <f>SUM(H47:H48)</f>
        <v>26642</v>
      </c>
      <c r="I46" s="69"/>
      <c r="J46" s="69" t="s">
        <v>60</v>
      </c>
      <c r="K46" s="69"/>
      <c r="L46" s="79"/>
    </row>
    <row r="47" spans="1:12" ht="12.75">
      <c r="A47" s="71"/>
      <c r="B47" s="61"/>
      <c r="C47" s="61"/>
      <c r="D47" s="551">
        <v>6050</v>
      </c>
      <c r="E47" s="556" t="s">
        <v>22</v>
      </c>
      <c r="F47" s="113">
        <f>312024-6100</f>
        <v>305924</v>
      </c>
      <c r="G47" s="72">
        <f t="shared" si="4"/>
        <v>11773</v>
      </c>
      <c r="H47" s="72">
        <v>11773</v>
      </c>
      <c r="I47" s="72"/>
      <c r="J47" s="72"/>
      <c r="K47" s="72"/>
      <c r="L47" s="56" t="s">
        <v>231</v>
      </c>
    </row>
    <row r="48" spans="1:12" ht="14.25" customHeight="1" thickBot="1">
      <c r="A48" s="83"/>
      <c r="B48" s="62"/>
      <c r="C48" s="62"/>
      <c r="D48" s="551">
        <v>6050</v>
      </c>
      <c r="E48" s="559" t="s">
        <v>23</v>
      </c>
      <c r="F48" s="114">
        <f>315329-9300</f>
        <v>306029</v>
      </c>
      <c r="G48" s="84">
        <f t="shared" si="4"/>
        <v>14869</v>
      </c>
      <c r="H48" s="84">
        <v>14869</v>
      </c>
      <c r="I48" s="84"/>
      <c r="J48" s="84"/>
      <c r="K48" s="84"/>
      <c r="L48" s="56" t="s">
        <v>231</v>
      </c>
    </row>
    <row r="49" spans="1:12" ht="13.5" thickBot="1">
      <c r="A49" s="80" t="s">
        <v>70</v>
      </c>
      <c r="B49" s="120">
        <v>801</v>
      </c>
      <c r="C49" s="120"/>
      <c r="D49" s="535"/>
      <c r="E49" s="560" t="s">
        <v>149</v>
      </c>
      <c r="F49" s="116">
        <f>SUM(F50)</f>
        <v>139700</v>
      </c>
      <c r="G49" s="85">
        <f>SUM(G50)</f>
        <v>127500</v>
      </c>
      <c r="H49" s="85">
        <f>SUM(H50)</f>
        <v>127500</v>
      </c>
      <c r="I49" s="85"/>
      <c r="J49" s="85">
        <f>SUM(J50)</f>
        <v>0</v>
      </c>
      <c r="K49" s="86"/>
      <c r="L49" s="87"/>
    </row>
    <row r="50" spans="1:12" ht="12.75">
      <c r="A50" s="71"/>
      <c r="B50" s="66"/>
      <c r="C50" s="66">
        <v>80104</v>
      </c>
      <c r="D50" s="533"/>
      <c r="E50" s="557" t="s">
        <v>174</v>
      </c>
      <c r="F50" s="115">
        <f>SUM(F51:F52)</f>
        <v>139700</v>
      </c>
      <c r="G50" s="89">
        <f>SUM(H50:K50)</f>
        <v>127500</v>
      </c>
      <c r="H50" s="89">
        <f>SUM(H51:H52)</f>
        <v>127500</v>
      </c>
      <c r="I50" s="89"/>
      <c r="J50" s="89"/>
      <c r="K50" s="89"/>
      <c r="L50" s="56"/>
    </row>
    <row r="51" spans="1:12" ht="22.5">
      <c r="A51" s="553"/>
      <c r="B51" s="66"/>
      <c r="C51" s="554"/>
      <c r="D51" s="550">
        <v>6050</v>
      </c>
      <c r="E51" s="552" t="s">
        <v>16</v>
      </c>
      <c r="F51" s="113">
        <f>145200-13000</f>
        <v>132200</v>
      </c>
      <c r="G51" s="72">
        <f>SUM(H51:K51)</f>
        <v>120000</v>
      </c>
      <c r="H51" s="72">
        <v>120000</v>
      </c>
      <c r="I51" s="72"/>
      <c r="J51" s="72"/>
      <c r="K51" s="72"/>
      <c r="L51" s="56" t="s">
        <v>231</v>
      </c>
    </row>
    <row r="52" spans="1:12" ht="17.25" customHeight="1" thickBot="1">
      <c r="A52" s="83"/>
      <c r="B52" s="738"/>
      <c r="C52" s="738"/>
      <c r="D52" s="538">
        <v>6060</v>
      </c>
      <c r="E52" s="739" t="s">
        <v>17</v>
      </c>
      <c r="F52" s="737">
        <v>7500</v>
      </c>
      <c r="G52" s="737">
        <f>SUM(H52:K52)</f>
        <v>7500</v>
      </c>
      <c r="H52" s="737">
        <v>7500</v>
      </c>
      <c r="I52" s="737"/>
      <c r="J52" s="737"/>
      <c r="K52" s="737"/>
      <c r="L52" s="56" t="s">
        <v>321</v>
      </c>
    </row>
    <row r="53" spans="1:12" ht="15" customHeight="1" thickBot="1">
      <c r="A53" s="80" t="s">
        <v>71</v>
      </c>
      <c r="B53" s="50">
        <v>852</v>
      </c>
      <c r="C53" s="49"/>
      <c r="D53" s="741"/>
      <c r="E53" s="734" t="s">
        <v>449</v>
      </c>
      <c r="F53" s="67">
        <f aca="true" t="shared" si="5" ref="F53:J54">SUM(F54)</f>
        <v>523737</v>
      </c>
      <c r="G53" s="67">
        <f t="shared" si="5"/>
        <v>515807</v>
      </c>
      <c r="H53" s="67">
        <f t="shared" si="5"/>
        <v>170100</v>
      </c>
      <c r="I53" s="67">
        <f t="shared" si="5"/>
        <v>0</v>
      </c>
      <c r="J53" s="67">
        <f t="shared" si="5"/>
        <v>345707</v>
      </c>
      <c r="K53" s="77"/>
      <c r="L53" s="733"/>
    </row>
    <row r="54" spans="1:12" ht="14.25" customHeight="1">
      <c r="A54" s="82"/>
      <c r="B54" s="735"/>
      <c r="C54" s="8">
        <v>85203</v>
      </c>
      <c r="D54" s="740"/>
      <c r="E54" s="736" t="s">
        <v>120</v>
      </c>
      <c r="F54" s="69">
        <f t="shared" si="5"/>
        <v>523737</v>
      </c>
      <c r="G54" s="69">
        <f t="shared" si="5"/>
        <v>515807</v>
      </c>
      <c r="H54" s="69">
        <f t="shared" si="5"/>
        <v>170100</v>
      </c>
      <c r="I54" s="69">
        <f t="shared" si="5"/>
        <v>0</v>
      </c>
      <c r="J54" s="69">
        <f t="shared" si="5"/>
        <v>345707</v>
      </c>
      <c r="K54" s="69"/>
      <c r="L54" s="56"/>
    </row>
    <row r="55" spans="1:12" ht="46.5" customHeight="1" thickBot="1">
      <c r="A55" s="83"/>
      <c r="B55" s="738"/>
      <c r="C55" s="738"/>
      <c r="D55" s="538">
        <v>6050</v>
      </c>
      <c r="E55" s="739" t="s">
        <v>500</v>
      </c>
      <c r="F55" s="737">
        <v>523737</v>
      </c>
      <c r="G55" s="737">
        <f>SUM(H55:J55)</f>
        <v>515807</v>
      </c>
      <c r="H55" s="737">
        <f>120100+50000</f>
        <v>170100</v>
      </c>
      <c r="I55" s="737"/>
      <c r="J55" s="737">
        <f>456000-110293</f>
        <v>345707</v>
      </c>
      <c r="K55" s="737"/>
      <c r="L55" s="56" t="s">
        <v>231</v>
      </c>
    </row>
    <row r="56" spans="1:12" ht="13.5" thickBot="1">
      <c r="A56" s="80" t="s">
        <v>72</v>
      </c>
      <c r="B56" s="49">
        <v>900</v>
      </c>
      <c r="C56" s="50"/>
      <c r="D56" s="107"/>
      <c r="E56" s="555" t="s">
        <v>237</v>
      </c>
      <c r="F56" s="67">
        <f>SUM(F57+F64+F68)</f>
        <v>61397801.75</v>
      </c>
      <c r="G56" s="67">
        <f>SUM(G57+G64+G68)</f>
        <v>19491867.95</v>
      </c>
      <c r="H56" s="67">
        <f>SUM(H57+H64+H68)</f>
        <v>3806664.69</v>
      </c>
      <c r="I56" s="67">
        <f>SUM(I68)</f>
        <v>5685913</v>
      </c>
      <c r="J56" s="67">
        <f>SUM(J68)</f>
        <v>0</v>
      </c>
      <c r="K56" s="77">
        <f>SUM(K57+K68)</f>
        <v>9999290.26</v>
      </c>
      <c r="L56" s="88"/>
    </row>
    <row r="57" spans="1:12" ht="12.75">
      <c r="A57" s="82"/>
      <c r="B57" s="8"/>
      <c r="C57" s="39">
        <v>90001</v>
      </c>
      <c r="D57" s="39"/>
      <c r="E57" s="601" t="s">
        <v>188</v>
      </c>
      <c r="F57" s="54">
        <f>SUM(F58:F60)+F61</f>
        <v>19261630</v>
      </c>
      <c r="G57" s="54">
        <f>SUM(G58:G60)+G61</f>
        <v>2013929.9</v>
      </c>
      <c r="H57" s="54">
        <f>SUM(H58:H60)+H61</f>
        <v>600902.96</v>
      </c>
      <c r="I57" s="54">
        <f>SUM(I58:I60)</f>
        <v>0</v>
      </c>
      <c r="J57" s="54">
        <f>SUM(J58:J60)</f>
        <v>0</v>
      </c>
      <c r="K57" s="54">
        <f>SUM(K58:K60)</f>
        <v>1413026.94</v>
      </c>
      <c r="L57" s="600"/>
    </row>
    <row r="58" spans="1:12" ht="22.5">
      <c r="A58" s="71"/>
      <c r="B58" s="7"/>
      <c r="C58" s="43"/>
      <c r="D58" s="530">
        <v>6050</v>
      </c>
      <c r="E58" s="307" t="s">
        <v>233</v>
      </c>
      <c r="F58" s="44">
        <f>9099630+28000+50000+15000</f>
        <v>9192630</v>
      </c>
      <c r="G58" s="44">
        <f aca="true" t="shared" si="6" ref="G58:G67">SUM(H58:K58)</f>
        <v>15000</v>
      </c>
      <c r="H58" s="44">
        <v>15000</v>
      </c>
      <c r="I58" s="44" t="s">
        <v>60</v>
      </c>
      <c r="J58" s="48"/>
      <c r="K58" s="48"/>
      <c r="L58" s="56" t="s">
        <v>231</v>
      </c>
    </row>
    <row r="59" spans="1:12" ht="22.5">
      <c r="A59" s="71"/>
      <c r="B59" s="7"/>
      <c r="C59" s="43"/>
      <c r="D59" s="530">
        <v>6057</v>
      </c>
      <c r="E59" s="307" t="s">
        <v>233</v>
      </c>
      <c r="F59" s="44"/>
      <c r="G59" s="44">
        <f t="shared" si="6"/>
        <v>1413026.94</v>
      </c>
      <c r="H59" s="44"/>
      <c r="I59" s="44"/>
      <c r="J59" s="48" t="s">
        <v>60</v>
      </c>
      <c r="K59" s="48">
        <v>1413026.94</v>
      </c>
      <c r="L59" s="600"/>
    </row>
    <row r="60" spans="1:12" ht="22.5">
      <c r="A60" s="71"/>
      <c r="B60" s="7"/>
      <c r="C60" s="43"/>
      <c r="D60" s="530">
        <v>6059</v>
      </c>
      <c r="E60" s="307" t="s">
        <v>233</v>
      </c>
      <c r="F60" s="44"/>
      <c r="G60" s="44">
        <f t="shared" si="6"/>
        <v>298902.96</v>
      </c>
      <c r="H60" s="44">
        <v>298902.96</v>
      </c>
      <c r="I60" s="44"/>
      <c r="J60" s="48"/>
      <c r="K60" s="48"/>
      <c r="L60" s="600"/>
    </row>
    <row r="61" spans="1:12" ht="22.5">
      <c r="A61" s="71"/>
      <c r="B61" s="7"/>
      <c r="C61" s="43"/>
      <c r="D61" s="540">
        <v>6050</v>
      </c>
      <c r="E61" s="545" t="s">
        <v>491</v>
      </c>
      <c r="F61" s="103">
        <f>SUM(F62:F63)</f>
        <v>10069000</v>
      </c>
      <c r="G61" s="44">
        <f t="shared" si="6"/>
        <v>287000</v>
      </c>
      <c r="H61" s="44">
        <f>SUM(H62:H63)</f>
        <v>287000</v>
      </c>
      <c r="I61" s="44"/>
      <c r="J61" s="48"/>
      <c r="K61" s="48"/>
      <c r="L61" s="56" t="s">
        <v>231</v>
      </c>
    </row>
    <row r="62" spans="1:12" ht="15" customHeight="1">
      <c r="A62" s="71"/>
      <c r="B62" s="7"/>
      <c r="C62" s="43"/>
      <c r="D62" s="540"/>
      <c r="E62" s="723" t="s">
        <v>492</v>
      </c>
      <c r="F62" s="103">
        <v>3844000</v>
      </c>
      <c r="G62" s="44">
        <f t="shared" si="6"/>
        <v>60000</v>
      </c>
      <c r="H62" s="44">
        <v>60000</v>
      </c>
      <c r="I62" s="44"/>
      <c r="J62" s="48"/>
      <c r="K62" s="48"/>
      <c r="L62" s="70"/>
    </row>
    <row r="63" spans="1:12" ht="19.5">
      <c r="A63" s="71"/>
      <c r="B63" s="7"/>
      <c r="C63" s="43"/>
      <c r="D63" s="540"/>
      <c r="E63" s="724" t="s">
        <v>493</v>
      </c>
      <c r="F63" s="103">
        <v>6225000</v>
      </c>
      <c r="G63" s="44">
        <f t="shared" si="6"/>
        <v>227000</v>
      </c>
      <c r="H63" s="44">
        <v>227000</v>
      </c>
      <c r="I63" s="44"/>
      <c r="J63" s="48"/>
      <c r="K63" s="48"/>
      <c r="L63" s="70"/>
    </row>
    <row r="64" spans="1:12" ht="12.75">
      <c r="A64" s="71"/>
      <c r="B64" s="7"/>
      <c r="C64" s="43">
        <v>90015</v>
      </c>
      <c r="D64" s="540"/>
      <c r="E64" s="719" t="s">
        <v>466</v>
      </c>
      <c r="F64" s="122">
        <f>SUM(F65:F67)</f>
        <v>112045</v>
      </c>
      <c r="G64" s="123">
        <f t="shared" si="6"/>
        <v>105000</v>
      </c>
      <c r="H64" s="123">
        <f>SUM(H65:H67)</f>
        <v>105000</v>
      </c>
      <c r="I64" s="123"/>
      <c r="J64" s="435"/>
      <c r="K64" s="435"/>
      <c r="L64" s="70"/>
    </row>
    <row r="65" spans="1:12" ht="12.75">
      <c r="A65" s="71"/>
      <c r="B65" s="7"/>
      <c r="C65" s="43"/>
      <c r="D65" s="541">
        <v>6050</v>
      </c>
      <c r="E65" s="18" t="s">
        <v>467</v>
      </c>
      <c r="F65" s="103">
        <v>61045</v>
      </c>
      <c r="G65" s="44">
        <f t="shared" si="6"/>
        <v>54000</v>
      </c>
      <c r="H65" s="44">
        <v>54000</v>
      </c>
      <c r="I65" s="44"/>
      <c r="J65" s="48"/>
      <c r="K65" s="48"/>
      <c r="L65" s="56" t="s">
        <v>231</v>
      </c>
    </row>
    <row r="66" spans="1:12" ht="12.75">
      <c r="A66" s="71"/>
      <c r="B66" s="7"/>
      <c r="C66" s="43"/>
      <c r="D66" s="541">
        <v>6050</v>
      </c>
      <c r="E66" s="552" t="s">
        <v>468</v>
      </c>
      <c r="F66" s="103">
        <v>44000</v>
      </c>
      <c r="G66" s="44">
        <f t="shared" si="6"/>
        <v>44000</v>
      </c>
      <c r="H66" s="44">
        <v>44000</v>
      </c>
      <c r="I66" s="44"/>
      <c r="J66" s="48"/>
      <c r="K66" s="48"/>
      <c r="L66" s="56" t="s">
        <v>231</v>
      </c>
    </row>
    <row r="67" spans="1:12" ht="12.75">
      <c r="A67" s="71"/>
      <c r="B67" s="7"/>
      <c r="C67" s="43"/>
      <c r="D67" s="541">
        <v>6050</v>
      </c>
      <c r="E67" s="720" t="s">
        <v>469</v>
      </c>
      <c r="F67" s="103">
        <v>7000</v>
      </c>
      <c r="G67" s="44">
        <f t="shared" si="6"/>
        <v>7000</v>
      </c>
      <c r="H67" s="44">
        <v>7000</v>
      </c>
      <c r="I67" s="44"/>
      <c r="J67" s="48"/>
      <c r="K67" s="48"/>
      <c r="L67" s="56" t="s">
        <v>231</v>
      </c>
    </row>
    <row r="68" spans="1:12" ht="12.75">
      <c r="A68" s="59"/>
      <c r="B68" s="60"/>
      <c r="C68" s="90">
        <v>90095</v>
      </c>
      <c r="D68" s="536"/>
      <c r="E68" s="328" t="s">
        <v>90</v>
      </c>
      <c r="F68" s="115">
        <f>SUM(F69:F77)</f>
        <v>42024126.75</v>
      </c>
      <c r="G68" s="89">
        <f>SUM(G69:G77)</f>
        <v>17372938.05</v>
      </c>
      <c r="H68" s="89">
        <f>SUM(H69:H77)</f>
        <v>3100761.73</v>
      </c>
      <c r="I68" s="89">
        <f>SUM(I72:I72)</f>
        <v>5685913</v>
      </c>
      <c r="J68" s="89">
        <f>SUM(J72:J72)</f>
        <v>0</v>
      </c>
      <c r="K68" s="89">
        <f>SUM(K69:K71)</f>
        <v>8586263.32</v>
      </c>
      <c r="L68" s="70"/>
    </row>
    <row r="69" spans="1:12" ht="22.5">
      <c r="A69" s="59"/>
      <c r="B69" s="60"/>
      <c r="C69" s="90"/>
      <c r="D69" s="541">
        <v>6050</v>
      </c>
      <c r="E69" s="546" t="s">
        <v>294</v>
      </c>
      <c r="F69" s="105">
        <f>31119376.75+750</f>
        <v>31120126.75</v>
      </c>
      <c r="G69" s="44">
        <f>SUM(H69:K69)</f>
        <v>0</v>
      </c>
      <c r="H69" s="52"/>
      <c r="I69" s="52"/>
      <c r="J69" s="57"/>
      <c r="K69" s="57"/>
      <c r="L69" s="56" t="s">
        <v>231</v>
      </c>
    </row>
    <row r="70" spans="1:12" ht="22.5">
      <c r="A70" s="59"/>
      <c r="B70" s="60"/>
      <c r="C70" s="90"/>
      <c r="D70" s="541">
        <v>6057</v>
      </c>
      <c r="E70" s="546" t="s">
        <v>294</v>
      </c>
      <c r="F70" s="113"/>
      <c r="G70" s="44">
        <f>SUM(H70:K70)</f>
        <v>8586263.32</v>
      </c>
      <c r="H70" s="72"/>
      <c r="I70" s="72" t="s">
        <v>60</v>
      </c>
      <c r="J70" s="73" t="s">
        <v>60</v>
      </c>
      <c r="K70" s="72">
        <v>8586263.32</v>
      </c>
      <c r="L70" s="70"/>
    </row>
    <row r="71" spans="1:12" ht="22.5">
      <c r="A71" s="59"/>
      <c r="B71" s="60"/>
      <c r="C71" s="90"/>
      <c r="D71" s="541">
        <v>6059</v>
      </c>
      <c r="E71" s="546" t="s">
        <v>294</v>
      </c>
      <c r="F71" s="114"/>
      <c r="G71" s="52">
        <f>SUM(H71:K71)</f>
        <v>2323674.73</v>
      </c>
      <c r="H71" s="84">
        <v>2323674.73</v>
      </c>
      <c r="I71" s="84"/>
      <c r="J71" s="91"/>
      <c r="K71" s="84"/>
      <c r="L71" s="70"/>
    </row>
    <row r="72" spans="1:12" ht="22.5">
      <c r="A72" s="59"/>
      <c r="B72" s="60"/>
      <c r="C72" s="60"/>
      <c r="D72" s="550">
        <v>6050</v>
      </c>
      <c r="E72" s="552" t="s">
        <v>291</v>
      </c>
      <c r="F72" s="113">
        <v>6325000</v>
      </c>
      <c r="G72" s="72">
        <f aca="true" t="shared" si="7" ref="G72:G87">SUM(H72:K72)</f>
        <v>6270000</v>
      </c>
      <c r="H72" s="72">
        <v>584087</v>
      </c>
      <c r="I72" s="72">
        <v>5685913</v>
      </c>
      <c r="J72" s="73"/>
      <c r="K72" s="72"/>
      <c r="L72" s="56" t="s">
        <v>231</v>
      </c>
    </row>
    <row r="73" spans="1:12" ht="33.75">
      <c r="A73" s="59"/>
      <c r="B73" s="60"/>
      <c r="C73" s="60"/>
      <c r="D73" s="550">
        <v>6050</v>
      </c>
      <c r="E73" s="742" t="s">
        <v>502</v>
      </c>
      <c r="F73" s="72">
        <v>3920000</v>
      </c>
      <c r="G73" s="72">
        <f t="shared" si="7"/>
        <v>40000</v>
      </c>
      <c r="H73" s="72">
        <v>40000</v>
      </c>
      <c r="I73" s="72"/>
      <c r="J73" s="73" t="s">
        <v>60</v>
      </c>
      <c r="K73" s="95"/>
      <c r="L73" s="56" t="s">
        <v>231</v>
      </c>
    </row>
    <row r="74" spans="1:12" ht="22.5">
      <c r="A74" s="59"/>
      <c r="B74" s="60"/>
      <c r="C74" s="60"/>
      <c r="D74" s="550">
        <v>6050</v>
      </c>
      <c r="E74" s="552" t="s">
        <v>18</v>
      </c>
      <c r="F74" s="113">
        <v>270000</v>
      </c>
      <c r="G74" s="72">
        <f t="shared" si="7"/>
        <v>20000</v>
      </c>
      <c r="H74" s="72">
        <v>20000</v>
      </c>
      <c r="I74" s="72"/>
      <c r="J74" s="73" t="s">
        <v>60</v>
      </c>
      <c r="K74" s="95"/>
      <c r="L74" s="56" t="s">
        <v>231</v>
      </c>
    </row>
    <row r="75" spans="1:12" ht="33.75">
      <c r="A75" s="59"/>
      <c r="B75" s="60"/>
      <c r="C75" s="60"/>
      <c r="D75" s="550">
        <v>6050</v>
      </c>
      <c r="E75" s="552" t="s">
        <v>503</v>
      </c>
      <c r="F75" s="113">
        <f>75000+6000</f>
        <v>81000</v>
      </c>
      <c r="G75" s="72">
        <f t="shared" si="7"/>
        <v>75000</v>
      </c>
      <c r="H75" s="72">
        <v>75000</v>
      </c>
      <c r="I75" s="72"/>
      <c r="J75" s="73"/>
      <c r="K75" s="95"/>
      <c r="L75" s="56" t="s">
        <v>231</v>
      </c>
    </row>
    <row r="76" spans="1:12" ht="12.75">
      <c r="A76" s="59"/>
      <c r="B76" s="60"/>
      <c r="C76" s="60"/>
      <c r="D76" s="550">
        <v>6050</v>
      </c>
      <c r="E76" s="552" t="s">
        <v>19</v>
      </c>
      <c r="F76" s="113">
        <v>300000</v>
      </c>
      <c r="G76" s="72">
        <f t="shared" si="7"/>
        <v>50000</v>
      </c>
      <c r="H76" s="72">
        <v>50000</v>
      </c>
      <c r="I76" s="72"/>
      <c r="J76" s="73"/>
      <c r="K76" s="72"/>
      <c r="L76" s="56" t="s">
        <v>231</v>
      </c>
    </row>
    <row r="77" spans="1:12" ht="13.5" thickBot="1">
      <c r="A77" s="543"/>
      <c r="B77" s="74"/>
      <c r="C77" s="74"/>
      <c r="D77" s="544">
        <v>6060</v>
      </c>
      <c r="E77" s="561" t="s">
        <v>21</v>
      </c>
      <c r="F77" s="117">
        <v>8000</v>
      </c>
      <c r="G77" s="75">
        <f t="shared" si="7"/>
        <v>8000</v>
      </c>
      <c r="H77" s="75">
        <v>8000</v>
      </c>
      <c r="I77" s="75"/>
      <c r="J77" s="76"/>
      <c r="K77" s="96"/>
      <c r="L77" s="56"/>
    </row>
    <row r="78" spans="1:12" ht="13.5" thickBot="1">
      <c r="A78" s="80" t="s">
        <v>73</v>
      </c>
      <c r="B78" s="63">
        <v>921</v>
      </c>
      <c r="C78" s="63"/>
      <c r="D78" s="531"/>
      <c r="E78" s="547" t="s">
        <v>240</v>
      </c>
      <c r="F78" s="111">
        <f>SUM(F79)</f>
        <v>7265295.58</v>
      </c>
      <c r="G78" s="67">
        <f t="shared" si="7"/>
        <v>4224564.58</v>
      </c>
      <c r="H78" s="67">
        <f>SUM(H79)</f>
        <v>2674878.65</v>
      </c>
      <c r="I78" s="67"/>
      <c r="J78" s="93"/>
      <c r="K78" s="67">
        <f>SUM(K79)</f>
        <v>1549685.93</v>
      </c>
      <c r="L78" s="58"/>
    </row>
    <row r="79" spans="1:12" ht="13.5" customHeight="1">
      <c r="A79" s="64"/>
      <c r="B79" s="51"/>
      <c r="C79" s="65">
        <v>92109</v>
      </c>
      <c r="D79" s="532"/>
      <c r="E79" s="8" t="s">
        <v>150</v>
      </c>
      <c r="F79" s="112">
        <f>SUM(F80:F87)</f>
        <v>7265295.58</v>
      </c>
      <c r="G79" s="69">
        <f t="shared" si="7"/>
        <v>4224564.58</v>
      </c>
      <c r="H79" s="69">
        <f>SUM(H80:H87)</f>
        <v>2674878.65</v>
      </c>
      <c r="I79" s="69"/>
      <c r="J79" s="92"/>
      <c r="K79" s="69">
        <f>SUM(K80:K87)</f>
        <v>1549685.93</v>
      </c>
      <c r="L79" s="58"/>
    </row>
    <row r="80" spans="1:12" ht="15" customHeight="1">
      <c r="A80" s="64"/>
      <c r="B80" s="51"/>
      <c r="C80" s="65"/>
      <c r="D80" s="541">
        <v>6050</v>
      </c>
      <c r="E80" s="180" t="s">
        <v>495</v>
      </c>
      <c r="F80" s="728">
        <f>3099371.87+747162.71+20000</f>
        <v>3866534.58</v>
      </c>
      <c r="G80" s="44">
        <f t="shared" si="7"/>
        <v>20000</v>
      </c>
      <c r="H80" s="725">
        <v>20000</v>
      </c>
      <c r="I80" s="725"/>
      <c r="J80" s="726"/>
      <c r="K80" s="727"/>
      <c r="L80" s="56" t="s">
        <v>231</v>
      </c>
    </row>
    <row r="81" spans="1:12" ht="15" customHeight="1">
      <c r="A81" s="64"/>
      <c r="B81" s="51"/>
      <c r="C81" s="65"/>
      <c r="D81" s="541">
        <v>6057</v>
      </c>
      <c r="E81" s="180" t="s">
        <v>495</v>
      </c>
      <c r="F81" s="112"/>
      <c r="G81" s="44">
        <f t="shared" si="7"/>
        <v>1549685.93</v>
      </c>
      <c r="H81" s="725"/>
      <c r="I81" s="725"/>
      <c r="J81" s="726"/>
      <c r="K81" s="727">
        <v>1549685.93</v>
      </c>
      <c r="L81" s="58"/>
    </row>
    <row r="82" spans="1:12" ht="16.5" customHeight="1">
      <c r="A82" s="64"/>
      <c r="B82" s="51"/>
      <c r="C82" s="65"/>
      <c r="D82" s="541">
        <v>6059</v>
      </c>
      <c r="E82" s="180" t="s">
        <v>495</v>
      </c>
      <c r="F82" s="112"/>
      <c r="G82" s="44">
        <f t="shared" si="7"/>
        <v>2296878.65</v>
      </c>
      <c r="H82" s="727">
        <f>1549685.94+747192.71</f>
        <v>2296878.65</v>
      </c>
      <c r="I82" s="725"/>
      <c r="J82" s="726" t="s">
        <v>60</v>
      </c>
      <c r="K82" s="727"/>
      <c r="L82" s="58"/>
    </row>
    <row r="83" spans="1:12" ht="15.75" customHeight="1">
      <c r="A83" s="64"/>
      <c r="B83" s="51"/>
      <c r="C83" s="65"/>
      <c r="D83" s="550">
        <v>6050</v>
      </c>
      <c r="E83" s="180" t="s">
        <v>313</v>
      </c>
      <c r="F83" s="113">
        <v>311848</v>
      </c>
      <c r="G83" s="44">
        <f>SUM(H83:K83)</f>
        <v>300000</v>
      </c>
      <c r="H83" s="19">
        <v>300000</v>
      </c>
      <c r="I83" s="69"/>
      <c r="J83" s="92"/>
      <c r="K83" s="97"/>
      <c r="L83" s="56" t="s">
        <v>231</v>
      </c>
    </row>
    <row r="84" spans="1:12" ht="14.25" customHeight="1">
      <c r="A84" s="59"/>
      <c r="B84" s="61"/>
      <c r="C84" s="61"/>
      <c r="D84" s="550">
        <v>6050</v>
      </c>
      <c r="E84" s="556" t="s">
        <v>241</v>
      </c>
      <c r="F84" s="113">
        <f>888867-14000</f>
        <v>874867</v>
      </c>
      <c r="G84" s="72">
        <f t="shared" si="7"/>
        <v>17000</v>
      </c>
      <c r="H84" s="72">
        <f>30000-13000</f>
        <v>17000</v>
      </c>
      <c r="I84" s="72" t="s">
        <v>60</v>
      </c>
      <c r="J84" s="73"/>
      <c r="K84" s="95"/>
      <c r="L84" s="56" t="s">
        <v>231</v>
      </c>
    </row>
    <row r="85" spans="1:12" ht="15.75" customHeight="1">
      <c r="A85" s="59"/>
      <c r="B85" s="61"/>
      <c r="C85" s="61"/>
      <c r="D85" s="550">
        <v>6050</v>
      </c>
      <c r="E85" s="556" t="s">
        <v>242</v>
      </c>
      <c r="F85" s="113">
        <f>1044199-17000</f>
        <v>1027199</v>
      </c>
      <c r="G85" s="72">
        <f t="shared" si="7"/>
        <v>15000</v>
      </c>
      <c r="H85" s="72">
        <f>30000-15000</f>
        <v>15000</v>
      </c>
      <c r="I85" s="72" t="s">
        <v>60</v>
      </c>
      <c r="J85" s="73"/>
      <c r="K85" s="95"/>
      <c r="L85" s="56" t="s">
        <v>231</v>
      </c>
    </row>
    <row r="86" spans="1:12" ht="22.5">
      <c r="A86" s="59"/>
      <c r="B86" s="61"/>
      <c r="C86" s="61"/>
      <c r="D86" s="550">
        <v>6050</v>
      </c>
      <c r="E86" s="556" t="s">
        <v>243</v>
      </c>
      <c r="F86" s="113">
        <f>1189147-10300</f>
        <v>1178847</v>
      </c>
      <c r="G86" s="72">
        <f t="shared" si="7"/>
        <v>20000</v>
      </c>
      <c r="H86" s="72">
        <f>30000-10000</f>
        <v>20000</v>
      </c>
      <c r="I86" s="72"/>
      <c r="J86" s="73"/>
      <c r="K86" s="95"/>
      <c r="L86" s="56" t="s">
        <v>231</v>
      </c>
    </row>
    <row r="87" spans="1:12" ht="13.5" thickBot="1">
      <c r="A87" s="543"/>
      <c r="B87" s="610"/>
      <c r="C87" s="611"/>
      <c r="D87" s="544">
        <v>6060</v>
      </c>
      <c r="E87" s="612" t="s">
        <v>443</v>
      </c>
      <c r="F87" s="117">
        <f>6000</f>
        <v>6000</v>
      </c>
      <c r="G87" s="72">
        <f t="shared" si="7"/>
        <v>6000</v>
      </c>
      <c r="H87" s="75">
        <v>6000</v>
      </c>
      <c r="I87" s="75"/>
      <c r="J87" s="76"/>
      <c r="K87" s="96"/>
      <c r="L87" s="56" t="s">
        <v>231</v>
      </c>
    </row>
    <row r="88" spans="1:12" ht="13.5" thickBot="1">
      <c r="A88" s="80" t="s">
        <v>507</v>
      </c>
      <c r="B88" s="94">
        <v>926</v>
      </c>
      <c r="C88" s="63"/>
      <c r="D88" s="531"/>
      <c r="E88" s="562" t="s">
        <v>234</v>
      </c>
      <c r="F88" s="106">
        <f>SUM(F89)</f>
        <v>1170821.09</v>
      </c>
      <c r="G88" s="53">
        <f>SUM(G89)</f>
        <v>245949.4</v>
      </c>
      <c r="H88" s="53">
        <f>SUM(H89)</f>
        <v>229996.9</v>
      </c>
      <c r="I88" s="67"/>
      <c r="J88" s="93"/>
      <c r="K88" s="77">
        <f>SUM(K89)</f>
        <v>15952.5</v>
      </c>
      <c r="L88" s="81"/>
    </row>
    <row r="89" spans="1:12" ht="12.75">
      <c r="A89" s="64"/>
      <c r="B89" s="65"/>
      <c r="C89" s="65">
        <v>92601</v>
      </c>
      <c r="D89" s="532"/>
      <c r="E89" s="558" t="s">
        <v>194</v>
      </c>
      <c r="F89" s="112">
        <f>SUM(F90:F94)</f>
        <v>1170821.09</v>
      </c>
      <c r="G89" s="54">
        <f>SUM(H89:K89)</f>
        <v>245949.4</v>
      </c>
      <c r="H89" s="54">
        <f>SUM(H90:H94)</f>
        <v>229996.9</v>
      </c>
      <c r="I89" s="69"/>
      <c r="J89" s="92"/>
      <c r="K89" s="97">
        <f>SUM(K90:K94)</f>
        <v>15952.5</v>
      </c>
      <c r="L89" s="58"/>
    </row>
    <row r="90" spans="1:12" ht="22.5">
      <c r="A90" s="64"/>
      <c r="B90" s="65"/>
      <c r="C90" s="65"/>
      <c r="D90" s="541">
        <v>6050</v>
      </c>
      <c r="E90" s="729" t="s">
        <v>496</v>
      </c>
      <c r="F90" s="728">
        <v>450821.09</v>
      </c>
      <c r="G90" s="183"/>
      <c r="H90" s="183"/>
      <c r="I90" s="725"/>
      <c r="J90" s="726"/>
      <c r="K90" s="727"/>
      <c r="L90" s="56" t="s">
        <v>231</v>
      </c>
    </row>
    <row r="91" spans="1:12" ht="22.5">
      <c r="A91" s="64"/>
      <c r="B91" s="65"/>
      <c r="C91" s="65"/>
      <c r="D91" s="541">
        <v>6057</v>
      </c>
      <c r="E91" s="729" t="s">
        <v>496</v>
      </c>
      <c r="F91" s="728"/>
      <c r="G91" s="183">
        <f>SUM(H91:K91)</f>
        <v>15952.5</v>
      </c>
      <c r="H91" s="183"/>
      <c r="I91" s="725"/>
      <c r="J91" s="726"/>
      <c r="K91" s="727">
        <v>15952.5</v>
      </c>
      <c r="L91" s="58"/>
    </row>
    <row r="92" spans="1:12" ht="22.5">
      <c r="A92" s="64"/>
      <c r="B92" s="65"/>
      <c r="C92" s="65"/>
      <c r="D92" s="541">
        <v>6059</v>
      </c>
      <c r="E92" s="729" t="s">
        <v>496</v>
      </c>
      <c r="F92" s="728"/>
      <c r="G92" s="183">
        <f>SUM(H92:K92)</f>
        <v>9996.9</v>
      </c>
      <c r="H92" s="183">
        <v>9996.9</v>
      </c>
      <c r="I92" s="725"/>
      <c r="J92" s="726"/>
      <c r="K92" s="727"/>
      <c r="L92" s="58"/>
    </row>
    <row r="93" spans="1:12" ht="22.5">
      <c r="A93" s="64"/>
      <c r="B93" s="65"/>
      <c r="C93" s="65"/>
      <c r="D93" s="541">
        <v>6050</v>
      </c>
      <c r="E93" s="545" t="s">
        <v>504</v>
      </c>
      <c r="F93" s="728">
        <v>200000</v>
      </c>
      <c r="G93" s="183">
        <f>SUM(H93:K93)</f>
        <v>200000</v>
      </c>
      <c r="H93" s="183">
        <v>200000</v>
      </c>
      <c r="I93" s="725"/>
      <c r="J93" s="726"/>
      <c r="K93" s="727"/>
      <c r="L93" s="56" t="s">
        <v>231</v>
      </c>
    </row>
    <row r="94" spans="1:12" ht="14.25" customHeight="1">
      <c r="A94" s="59"/>
      <c r="B94" s="61"/>
      <c r="C94" s="61"/>
      <c r="D94" s="550">
        <v>6050</v>
      </c>
      <c r="E94" s="545" t="s">
        <v>20</v>
      </c>
      <c r="F94" s="182">
        <v>520000</v>
      </c>
      <c r="G94" s="72">
        <f>SUM(H94:K94)</f>
        <v>20000</v>
      </c>
      <c r="H94" s="183">
        <v>20000</v>
      </c>
      <c r="I94" s="256"/>
      <c r="J94" s="73"/>
      <c r="K94" s="95"/>
      <c r="L94" s="56" t="s">
        <v>231</v>
      </c>
    </row>
    <row r="95" spans="1:12" ht="13.5" customHeight="1">
      <c r="A95" s="59"/>
      <c r="B95" s="257"/>
      <c r="C95" s="257"/>
      <c r="D95" s="258"/>
      <c r="E95" s="258" t="s">
        <v>549</v>
      </c>
      <c r="F95" s="89">
        <f>SUM(F9+F33+F45+F49+F56+F78+F88)</f>
        <v>108385515.42</v>
      </c>
      <c r="G95" s="89">
        <f>SUM(H95:K95)</f>
        <v>36449064.120000005</v>
      </c>
      <c r="H95" s="89">
        <f>SUM(H9+H33+H41+H45+H49+H53+H56+H78+H88)</f>
        <v>16657109.270000001</v>
      </c>
      <c r="I95" s="89">
        <f>SUM(I9+I33+I41+I45+I49+I53+I56+I78+I88)</f>
        <v>5685913</v>
      </c>
      <c r="J95" s="89">
        <f>SUM(J9+J33+J41+J45+J49+J53+J56+J78+J88)</f>
        <v>345707</v>
      </c>
      <c r="K95" s="89">
        <f>SUM(K9+K33+K41+K45+K49+K53+K56+K78+K88)</f>
        <v>13760334.85</v>
      </c>
      <c r="L95" s="58"/>
    </row>
    <row r="100" ht="12.75">
      <c r="G100" t="s">
        <v>60</v>
      </c>
    </row>
  </sheetData>
  <sheetProtection/>
  <mergeCells count="16">
    <mergeCell ref="A1:E1"/>
    <mergeCell ref="A2:F2"/>
    <mergeCell ref="A3:A7"/>
    <mergeCell ref="B3:B7"/>
    <mergeCell ref="C3:C7"/>
    <mergeCell ref="D3:D7"/>
    <mergeCell ref="E3:E7"/>
    <mergeCell ref="F3:F7"/>
    <mergeCell ref="G3:K3"/>
    <mergeCell ref="L3:L7"/>
    <mergeCell ref="G4:G7"/>
    <mergeCell ref="H4:K4"/>
    <mergeCell ref="H5:H7"/>
    <mergeCell ref="I5:I7"/>
    <mergeCell ref="J5:J7"/>
    <mergeCell ref="K5:K7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scale="9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5.00390625" style="0" customWidth="1"/>
    <col min="2" max="2" width="44.00390625" style="0" customWidth="1"/>
    <col min="3" max="3" width="13.00390625" style="0" customWidth="1"/>
    <col min="4" max="4" width="17.00390625" style="0" customWidth="1"/>
    <col min="5" max="5" width="11.75390625" style="0" bestFit="1" customWidth="1"/>
  </cols>
  <sheetData>
    <row r="1" spans="1:4" ht="51.75" customHeight="1">
      <c r="A1" s="867" t="s">
        <v>550</v>
      </c>
      <c r="B1" s="868"/>
      <c r="C1" s="302"/>
      <c r="D1" s="302"/>
    </row>
    <row r="2" spans="1:4" ht="15">
      <c r="A2" s="869" t="s">
        <v>444</v>
      </c>
      <c r="B2" s="869"/>
      <c r="C2" s="869"/>
      <c r="D2" s="869"/>
    </row>
    <row r="3" spans="1:4" ht="12.75">
      <c r="A3" s="303"/>
      <c r="B3" s="303"/>
      <c r="C3" s="303"/>
      <c r="D3" s="304" t="s">
        <v>64</v>
      </c>
    </row>
    <row r="4" spans="1:4" ht="12.75" customHeight="1">
      <c r="A4" s="870" t="s">
        <v>65</v>
      </c>
      <c r="B4" s="870" t="s">
        <v>74</v>
      </c>
      <c r="C4" s="871" t="s">
        <v>75</v>
      </c>
      <c r="D4" s="871" t="s">
        <v>511</v>
      </c>
    </row>
    <row r="5" spans="1:4" ht="12.75">
      <c r="A5" s="870"/>
      <c r="B5" s="870"/>
      <c r="C5" s="870"/>
      <c r="D5" s="871"/>
    </row>
    <row r="6" spans="1:4" ht="12.75">
      <c r="A6" s="870"/>
      <c r="B6" s="870"/>
      <c r="C6" s="870"/>
      <c r="D6" s="871"/>
    </row>
    <row r="7" spans="1:4" ht="15" customHeight="1">
      <c r="A7" s="262">
        <v>1</v>
      </c>
      <c r="B7" s="262">
        <v>2</v>
      </c>
      <c r="C7" s="262">
        <v>3</v>
      </c>
      <c r="D7" s="262">
        <v>4</v>
      </c>
    </row>
    <row r="8" spans="1:4" ht="15" customHeight="1">
      <c r="A8" s="865" t="s">
        <v>76</v>
      </c>
      <c r="B8" s="865"/>
      <c r="C8" s="305"/>
      <c r="D8" s="306">
        <f>SUM(D9:D16)</f>
        <v>20654285.17</v>
      </c>
    </row>
    <row r="9" spans="1:4" ht="23.25" customHeight="1">
      <c r="A9" s="794" t="s">
        <v>66</v>
      </c>
      <c r="B9" s="795" t="s">
        <v>470</v>
      </c>
      <c r="C9" s="305" t="s">
        <v>77</v>
      </c>
      <c r="D9" s="796">
        <v>11415252</v>
      </c>
    </row>
    <row r="10" spans="1:4" ht="22.5" customHeight="1">
      <c r="A10" s="794" t="s">
        <v>67</v>
      </c>
      <c r="B10" s="795" t="s">
        <v>471</v>
      </c>
      <c r="C10" s="305" t="s">
        <v>77</v>
      </c>
      <c r="D10" s="796">
        <f>3885913+1800000</f>
        <v>5685913</v>
      </c>
    </row>
    <row r="11" spans="1:4" ht="37.5" customHeight="1">
      <c r="A11" s="794" t="s">
        <v>69</v>
      </c>
      <c r="B11" s="795" t="s">
        <v>472</v>
      </c>
      <c r="C11" s="305" t="s">
        <v>78</v>
      </c>
      <c r="D11" s="796"/>
    </row>
    <row r="12" spans="1:4" ht="14.25" customHeight="1">
      <c r="A12" s="794" t="s">
        <v>68</v>
      </c>
      <c r="B12" s="797" t="s">
        <v>476</v>
      </c>
      <c r="C12" s="305" t="s">
        <v>82</v>
      </c>
      <c r="D12" s="796">
        <v>0</v>
      </c>
    </row>
    <row r="13" spans="1:4" ht="15.75" customHeight="1">
      <c r="A13" s="794" t="s">
        <v>70</v>
      </c>
      <c r="B13" s="797" t="s">
        <v>474</v>
      </c>
      <c r="C13" s="305" t="s">
        <v>80</v>
      </c>
      <c r="D13" s="796">
        <v>0</v>
      </c>
    </row>
    <row r="14" spans="1:5" ht="24">
      <c r="A14" s="794" t="s">
        <v>71</v>
      </c>
      <c r="B14" s="795" t="s">
        <v>543</v>
      </c>
      <c r="C14" s="305" t="s">
        <v>544</v>
      </c>
      <c r="D14" s="796">
        <v>3553120.17</v>
      </c>
      <c r="E14" s="11"/>
    </row>
    <row r="15" spans="1:4" ht="26.25" customHeight="1">
      <c r="A15" s="794" t="s">
        <v>72</v>
      </c>
      <c r="B15" s="795" t="s">
        <v>473</v>
      </c>
      <c r="C15" s="305" t="s">
        <v>79</v>
      </c>
      <c r="D15" s="796">
        <v>0</v>
      </c>
    </row>
    <row r="16" spans="1:4" ht="15" customHeight="1">
      <c r="A16" s="794" t="s">
        <v>73</v>
      </c>
      <c r="B16" s="797" t="s">
        <v>475</v>
      </c>
      <c r="C16" s="305" t="s">
        <v>81</v>
      </c>
      <c r="D16" s="796">
        <v>0</v>
      </c>
    </row>
    <row r="17" spans="1:4" ht="12.75">
      <c r="A17" s="866" t="s">
        <v>83</v>
      </c>
      <c r="B17" s="866"/>
      <c r="C17" s="305"/>
      <c r="D17" s="306">
        <f>SUM(D18:D24)</f>
        <v>4185317.02</v>
      </c>
    </row>
    <row r="18" spans="1:4" ht="24">
      <c r="A18" s="794" t="s">
        <v>66</v>
      </c>
      <c r="B18" s="795" t="s">
        <v>482</v>
      </c>
      <c r="C18" s="305" t="s">
        <v>84</v>
      </c>
      <c r="D18" s="796">
        <v>3523461.1</v>
      </c>
    </row>
    <row r="19" spans="1:4" ht="23.25" customHeight="1">
      <c r="A19" s="794" t="s">
        <v>67</v>
      </c>
      <c r="B19" s="795" t="s">
        <v>483</v>
      </c>
      <c r="C19" s="305" t="s">
        <v>84</v>
      </c>
      <c r="D19" s="796">
        <v>503885.92</v>
      </c>
    </row>
    <row r="20" spans="1:6" ht="36">
      <c r="A20" s="794" t="s">
        <v>69</v>
      </c>
      <c r="B20" s="795" t="s">
        <v>477</v>
      </c>
      <c r="C20" s="305" t="s">
        <v>85</v>
      </c>
      <c r="D20" s="798">
        <v>157970</v>
      </c>
      <c r="F20" t="s">
        <v>60</v>
      </c>
    </row>
    <row r="21" spans="1:4" ht="12.75">
      <c r="A21" s="794" t="s">
        <v>68</v>
      </c>
      <c r="B21" s="797" t="s">
        <v>478</v>
      </c>
      <c r="C21" s="305" t="s">
        <v>86</v>
      </c>
      <c r="D21" s="796">
        <v>0</v>
      </c>
    </row>
    <row r="22" spans="1:4" ht="14.25" customHeight="1">
      <c r="A22" s="794" t="s">
        <v>70</v>
      </c>
      <c r="B22" s="797" t="s">
        <v>479</v>
      </c>
      <c r="C22" s="305" t="s">
        <v>87</v>
      </c>
      <c r="D22" s="796">
        <v>0</v>
      </c>
    </row>
    <row r="23" spans="1:4" ht="15" customHeight="1">
      <c r="A23" s="794" t="s">
        <v>71</v>
      </c>
      <c r="B23" s="797" t="s">
        <v>480</v>
      </c>
      <c r="C23" s="305" t="s">
        <v>88</v>
      </c>
      <c r="D23" s="796">
        <v>0</v>
      </c>
    </row>
    <row r="24" spans="1:4" ht="16.5" customHeight="1">
      <c r="A24" s="794" t="s">
        <v>72</v>
      </c>
      <c r="B24" s="797" t="s">
        <v>481</v>
      </c>
      <c r="C24" s="305" t="s">
        <v>89</v>
      </c>
      <c r="D24" s="796">
        <v>0</v>
      </c>
    </row>
    <row r="25" spans="1:4" ht="12.75">
      <c r="A25" s="124"/>
      <c r="B25" s="124"/>
      <c r="C25" s="124"/>
      <c r="D25" s="124"/>
    </row>
    <row r="26" spans="1:4" ht="12.75">
      <c r="A26" s="124"/>
      <c r="B26" s="124"/>
      <c r="C26" s="124"/>
      <c r="D26" s="124"/>
    </row>
  </sheetData>
  <sheetProtection/>
  <mergeCells count="8">
    <mergeCell ref="A8:B8"/>
    <mergeCell ref="A17:B17"/>
    <mergeCell ref="A1:B1"/>
    <mergeCell ref="A2:D2"/>
    <mergeCell ref="A4:A6"/>
    <mergeCell ref="B4:B6"/>
    <mergeCell ref="C4:C6"/>
    <mergeCell ref="D4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3.00390625" style="0" customWidth="1"/>
    <col min="4" max="4" width="14.375" style="0" customWidth="1"/>
    <col min="5" max="5" width="10.125" style="0" bestFit="1" customWidth="1"/>
  </cols>
  <sheetData>
    <row r="1" spans="1:4" ht="59.25" customHeight="1">
      <c r="A1" s="872" t="s">
        <v>552</v>
      </c>
      <c r="B1" s="872"/>
      <c r="C1" s="872"/>
      <c r="D1" s="872"/>
    </row>
    <row r="2" spans="1:4" ht="21.75" customHeight="1">
      <c r="A2" s="873" t="s">
        <v>551</v>
      </c>
      <c r="B2" s="873"/>
      <c r="C2" s="873"/>
      <c r="D2" s="566"/>
    </row>
    <row r="3" spans="1:4" ht="24">
      <c r="A3" s="567" t="s">
        <v>98</v>
      </c>
      <c r="B3" s="568" t="s">
        <v>99</v>
      </c>
      <c r="C3" s="568" t="s">
        <v>100</v>
      </c>
      <c r="D3" s="569" t="s">
        <v>437</v>
      </c>
    </row>
    <row r="4" spans="1:4" ht="24.75" customHeight="1">
      <c r="A4" s="597">
        <v>1</v>
      </c>
      <c r="B4" s="570" t="s">
        <v>438</v>
      </c>
      <c r="C4" s="571" t="s">
        <v>101</v>
      </c>
      <c r="D4" s="572">
        <v>58083.6</v>
      </c>
    </row>
    <row r="5" spans="1:4" ht="24.75" customHeight="1">
      <c r="A5" s="597">
        <v>2</v>
      </c>
      <c r="B5" s="570" t="s">
        <v>441</v>
      </c>
      <c r="C5" s="571" t="s">
        <v>435</v>
      </c>
      <c r="D5" s="572">
        <v>22044.82</v>
      </c>
    </row>
    <row r="6" spans="1:5" ht="24.75" customHeight="1">
      <c r="A6" s="597">
        <v>3</v>
      </c>
      <c r="B6" s="570" t="s">
        <v>442</v>
      </c>
      <c r="C6" s="571" t="s">
        <v>436</v>
      </c>
      <c r="D6" s="572">
        <v>96082.5</v>
      </c>
      <c r="E6" s="596">
        <f>SUM(D4:D6)</f>
        <v>176210.91999999998</v>
      </c>
    </row>
    <row r="7" spans="1:4" ht="36">
      <c r="A7" s="597">
        <v>4</v>
      </c>
      <c r="B7" s="570" t="s">
        <v>102</v>
      </c>
      <c r="C7" s="571" t="s">
        <v>103</v>
      </c>
      <c r="D7" s="572">
        <v>200175</v>
      </c>
    </row>
    <row r="8" spans="1:4" ht="36">
      <c r="A8" s="597">
        <v>5</v>
      </c>
      <c r="B8" s="573" t="s">
        <v>104</v>
      </c>
      <c r="C8" s="574" t="s">
        <v>105</v>
      </c>
      <c r="D8" s="572">
        <v>38500</v>
      </c>
    </row>
    <row r="9" spans="1:4" ht="24">
      <c r="A9" s="597">
        <v>6</v>
      </c>
      <c r="B9" s="575" t="s">
        <v>106</v>
      </c>
      <c r="C9" s="571" t="s">
        <v>107</v>
      </c>
      <c r="D9" s="572">
        <v>59800</v>
      </c>
    </row>
    <row r="10" spans="1:4" ht="24.75" thickBot="1">
      <c r="A10" s="598">
        <v>7</v>
      </c>
      <c r="B10" s="576" t="s">
        <v>108</v>
      </c>
      <c r="C10" s="577" t="s">
        <v>109</v>
      </c>
      <c r="D10" s="578">
        <v>29200</v>
      </c>
    </row>
    <row r="11" spans="1:4" ht="13.5" thickBot="1">
      <c r="A11" s="579"/>
      <c r="B11" s="580" t="s">
        <v>110</v>
      </c>
      <c r="C11" s="581"/>
      <c r="D11" s="582">
        <f>SUM(D4:D10)</f>
        <v>503885.92</v>
      </c>
    </row>
    <row r="12" spans="1:4" ht="12.75">
      <c r="A12" s="565"/>
      <c r="B12" s="565"/>
      <c r="C12" s="583"/>
      <c r="D12" s="584"/>
    </row>
    <row r="13" spans="1:4" ht="12.75">
      <c r="A13" s="585"/>
      <c r="B13" s="585"/>
      <c r="C13" s="586"/>
      <c r="D13" s="587"/>
    </row>
    <row r="14" spans="1:4" ht="24">
      <c r="A14" s="597">
        <v>1</v>
      </c>
      <c r="B14" s="575" t="s">
        <v>111</v>
      </c>
      <c r="C14" s="588" t="s">
        <v>112</v>
      </c>
      <c r="D14" s="572">
        <v>600000</v>
      </c>
    </row>
    <row r="15" spans="1:4" ht="12.75">
      <c r="A15" s="597">
        <v>2</v>
      </c>
      <c r="B15" s="575" t="s">
        <v>124</v>
      </c>
      <c r="C15" s="588"/>
      <c r="D15" s="572">
        <v>487391.1</v>
      </c>
    </row>
    <row r="16" spans="1:4" ht="14.25" customHeight="1">
      <c r="A16" s="597">
        <v>3</v>
      </c>
      <c r="B16" s="576" t="s">
        <v>439</v>
      </c>
      <c r="C16" s="588"/>
      <c r="D16" s="572">
        <v>900000</v>
      </c>
    </row>
    <row r="17" spans="1:4" ht="14.25" customHeight="1" thickBot="1">
      <c r="A17" s="599">
        <v>4</v>
      </c>
      <c r="B17" s="576" t="s">
        <v>440</v>
      </c>
      <c r="C17" s="589"/>
      <c r="D17" s="293">
        <v>1694040</v>
      </c>
    </row>
    <row r="18" spans="1:4" ht="15" customHeight="1" thickBot="1">
      <c r="A18" s="590"/>
      <c r="B18" s="591" t="s">
        <v>305</v>
      </c>
      <c r="C18" s="592"/>
      <c r="D18" s="582">
        <f>SUM(D14:D17)</f>
        <v>3681431.1</v>
      </c>
    </row>
    <row r="19" spans="1:4" ht="15.75" customHeight="1" thickBot="1">
      <c r="A19" s="565"/>
      <c r="B19" s="565"/>
      <c r="C19" s="565"/>
      <c r="D19" s="584"/>
    </row>
    <row r="20" spans="1:4" ht="15" customHeight="1" thickBot="1">
      <c r="A20" s="585"/>
      <c r="B20" s="593" t="s">
        <v>125</v>
      </c>
      <c r="C20" s="594"/>
      <c r="D20" s="595">
        <f>SUM(D11+D18)</f>
        <v>4185317.02</v>
      </c>
    </row>
    <row r="21" spans="1:4" ht="12.75">
      <c r="A21" s="124"/>
      <c r="B21" s="124"/>
      <c r="C21" s="124"/>
      <c r="D21" s="124"/>
    </row>
    <row r="24" ht="12.75">
      <c r="D24" s="11"/>
    </row>
    <row r="25" ht="12.75">
      <c r="D25" s="11"/>
    </row>
    <row r="26" ht="12.75">
      <c r="D26" t="s">
        <v>60</v>
      </c>
    </row>
  </sheetData>
  <sheetProtection/>
  <mergeCells count="2">
    <mergeCell ref="A1:D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90">
      <selection activeCell="B87" sqref="B87:E87"/>
    </sheetView>
  </sheetViews>
  <sheetFormatPr defaultColWidth="9.00390625" defaultRowHeight="12.75"/>
  <cols>
    <col min="1" max="1" width="20.375" style="0" customWidth="1"/>
    <col min="2" max="2" width="4.875" style="0" customWidth="1"/>
    <col min="3" max="4" width="5.875" style="0" customWidth="1"/>
    <col min="5" max="5" width="35.75390625" style="0" customWidth="1"/>
    <col min="6" max="7" width="11.00390625" style="0" customWidth="1"/>
    <col min="8" max="8" width="11.125" style="0" customWidth="1"/>
    <col min="9" max="9" width="11.875" style="0" customWidth="1"/>
    <col min="10" max="11" width="10.75390625" style="0" customWidth="1"/>
    <col min="12" max="12" width="10.375" style="0" customWidth="1"/>
    <col min="13" max="13" width="10.75390625" style="0" customWidth="1"/>
  </cols>
  <sheetData>
    <row r="1" spans="1:6" ht="55.5" customHeight="1">
      <c r="A1" s="859" t="s">
        <v>553</v>
      </c>
      <c r="B1" s="859"/>
      <c r="C1" s="859"/>
      <c r="D1" s="859"/>
      <c r="E1" s="859"/>
      <c r="F1" s="859"/>
    </row>
    <row r="2" spans="1:6" ht="21" customHeight="1">
      <c r="A2" s="859" t="s">
        <v>555</v>
      </c>
      <c r="B2" s="859"/>
      <c r="C2" s="859"/>
      <c r="D2" s="859"/>
      <c r="E2" s="859"/>
      <c r="F2" s="859"/>
    </row>
    <row r="3" spans="1:13" ht="12.75">
      <c r="A3" s="1"/>
      <c r="B3" s="824" t="s">
        <v>197</v>
      </c>
      <c r="C3" s="826" t="s">
        <v>58</v>
      </c>
      <c r="D3" s="874" t="s">
        <v>306</v>
      </c>
      <c r="E3" s="816" t="s">
        <v>57</v>
      </c>
      <c r="F3" s="815" t="s">
        <v>244</v>
      </c>
      <c r="G3" s="818" t="s">
        <v>93</v>
      </c>
      <c r="H3" s="818"/>
      <c r="I3" s="818"/>
      <c r="J3" s="818"/>
      <c r="K3" s="818"/>
      <c r="L3" s="818"/>
      <c r="M3" s="192"/>
    </row>
    <row r="4" spans="1:13" ht="12.75">
      <c r="A4" s="1"/>
      <c r="B4" s="824"/>
      <c r="C4" s="826"/>
      <c r="D4" s="875"/>
      <c r="E4" s="816"/>
      <c r="F4" s="816"/>
      <c r="G4" s="815" t="s">
        <v>151</v>
      </c>
      <c r="H4" s="818" t="s">
        <v>93</v>
      </c>
      <c r="I4" s="818"/>
      <c r="J4" s="818"/>
      <c r="K4" s="191"/>
      <c r="L4" s="815" t="s">
        <v>152</v>
      </c>
      <c r="M4" s="24" t="s">
        <v>93</v>
      </c>
    </row>
    <row r="5" spans="1:13" ht="12.75">
      <c r="A5" s="1"/>
      <c r="B5" s="824"/>
      <c r="C5" s="826"/>
      <c r="D5" s="875"/>
      <c r="E5" s="816"/>
      <c r="F5" s="816"/>
      <c r="G5" s="815"/>
      <c r="H5" s="820" t="s">
        <v>153</v>
      </c>
      <c r="I5" s="818" t="s">
        <v>93</v>
      </c>
      <c r="J5" s="818"/>
      <c r="K5" s="855" t="s">
        <v>154</v>
      </c>
      <c r="L5" s="815"/>
      <c r="M5" s="878" t="s">
        <v>157</v>
      </c>
    </row>
    <row r="6" spans="1:13" ht="56.25">
      <c r="A6" s="248" t="s">
        <v>245</v>
      </c>
      <c r="B6" s="824"/>
      <c r="C6" s="826"/>
      <c r="D6" s="876"/>
      <c r="E6" s="816"/>
      <c r="F6" s="816"/>
      <c r="G6" s="815"/>
      <c r="H6" s="877"/>
      <c r="I6" s="249" t="s">
        <v>158</v>
      </c>
      <c r="J6" s="249" t="s">
        <v>159</v>
      </c>
      <c r="K6" s="855"/>
      <c r="L6" s="815"/>
      <c r="M6" s="879"/>
    </row>
    <row r="7" spans="1:13" ht="13.5" thickBot="1">
      <c r="A7" s="242"/>
      <c r="B7" s="243">
        <v>1</v>
      </c>
      <c r="C7" s="243">
        <v>2</v>
      </c>
      <c r="D7" s="243"/>
      <c r="E7" s="244">
        <v>3</v>
      </c>
      <c r="F7" s="245">
        <v>4</v>
      </c>
      <c r="G7" s="246">
        <v>5</v>
      </c>
      <c r="H7" s="245">
        <v>6</v>
      </c>
      <c r="I7" s="245">
        <v>7</v>
      </c>
      <c r="J7" s="245">
        <v>8</v>
      </c>
      <c r="K7" s="245">
        <v>9</v>
      </c>
      <c r="L7" s="245">
        <v>10</v>
      </c>
      <c r="M7" s="247">
        <v>11</v>
      </c>
    </row>
    <row r="8" spans="1:13" ht="13.5" thickTop="1">
      <c r="A8" s="880" t="s">
        <v>323</v>
      </c>
      <c r="B8" s="194">
        <v>801</v>
      </c>
      <c r="C8" s="194">
        <v>80101</v>
      </c>
      <c r="D8" s="194"/>
      <c r="E8" s="194" t="s">
        <v>59</v>
      </c>
      <c r="F8" s="195">
        <f aca="true" t="shared" si="0" ref="F8:F122">SUM(G8+L8)</f>
        <v>7189.69</v>
      </c>
      <c r="G8" s="195">
        <f aca="true" t="shared" si="1" ref="G8:G124">SUM(H8)</f>
        <v>7189.69</v>
      </c>
      <c r="H8" s="195">
        <f aca="true" t="shared" si="2" ref="H8:H122">SUM(I8:J8)</f>
        <v>7189.69</v>
      </c>
      <c r="I8" s="195"/>
      <c r="J8" s="195">
        <f>SUM(J9)</f>
        <v>7189.69</v>
      </c>
      <c r="K8" s="195"/>
      <c r="L8" s="195"/>
      <c r="M8" s="195"/>
    </row>
    <row r="9" spans="1:13" ht="12.75">
      <c r="A9" s="881"/>
      <c r="B9" s="196"/>
      <c r="C9" s="196"/>
      <c r="D9" s="199">
        <v>4210</v>
      </c>
      <c r="E9" s="199" t="s">
        <v>308</v>
      </c>
      <c r="F9" s="497">
        <f t="shared" si="0"/>
        <v>7189.69</v>
      </c>
      <c r="G9" s="497">
        <f t="shared" si="1"/>
        <v>7189.69</v>
      </c>
      <c r="H9" s="497">
        <f t="shared" si="2"/>
        <v>7189.69</v>
      </c>
      <c r="I9" s="202"/>
      <c r="J9" s="202">
        <v>7189.69</v>
      </c>
      <c r="K9" s="202"/>
      <c r="L9" s="202"/>
      <c r="M9" s="202"/>
    </row>
    <row r="10" spans="1:13" ht="12.75">
      <c r="A10" s="880" t="s">
        <v>324</v>
      </c>
      <c r="B10" s="194">
        <v>600</v>
      </c>
      <c r="C10" s="194">
        <v>60016</v>
      </c>
      <c r="D10" s="194"/>
      <c r="E10" s="194" t="s">
        <v>119</v>
      </c>
      <c r="F10" s="195">
        <f t="shared" si="0"/>
        <v>22567.08</v>
      </c>
      <c r="G10" s="195">
        <f t="shared" si="1"/>
        <v>22567.08</v>
      </c>
      <c r="H10" s="195">
        <f t="shared" si="2"/>
        <v>22567.08</v>
      </c>
      <c r="I10" s="195"/>
      <c r="J10" s="195">
        <f>SUM(J11)</f>
        <v>22567.08</v>
      </c>
      <c r="K10" s="195"/>
      <c r="L10" s="195"/>
      <c r="M10" s="195"/>
    </row>
    <row r="11" spans="1:13" ht="12.75">
      <c r="A11" s="881"/>
      <c r="B11" s="196"/>
      <c r="C11" s="196"/>
      <c r="D11" s="199">
        <v>4270</v>
      </c>
      <c r="E11" s="199" t="s">
        <v>299</v>
      </c>
      <c r="F11" s="497">
        <f t="shared" si="0"/>
        <v>22567.08</v>
      </c>
      <c r="G11" s="497">
        <f t="shared" si="1"/>
        <v>22567.08</v>
      </c>
      <c r="H11" s="497">
        <f t="shared" si="2"/>
        <v>22567.08</v>
      </c>
      <c r="I11" s="202"/>
      <c r="J11" s="202">
        <v>22567.08</v>
      </c>
      <c r="K11" s="202"/>
      <c r="L11" s="202"/>
      <c r="M11" s="202"/>
    </row>
    <row r="12" spans="1:13" ht="12.75">
      <c r="A12" s="880" t="s">
        <v>325</v>
      </c>
      <c r="B12" s="194">
        <v>600</v>
      </c>
      <c r="C12" s="194">
        <v>60016</v>
      </c>
      <c r="D12" s="194"/>
      <c r="E12" s="194" t="s">
        <v>119</v>
      </c>
      <c r="F12" s="195">
        <f t="shared" si="0"/>
        <v>12464.85</v>
      </c>
      <c r="G12" s="195">
        <f t="shared" si="1"/>
        <v>12464.85</v>
      </c>
      <c r="H12" s="195">
        <f t="shared" si="2"/>
        <v>12464.85</v>
      </c>
      <c r="I12" s="195"/>
      <c r="J12" s="195">
        <f>SUM(J13:J14)</f>
        <v>12464.85</v>
      </c>
      <c r="K12" s="195"/>
      <c r="L12" s="195"/>
      <c r="M12" s="195"/>
    </row>
    <row r="13" spans="1:13" ht="12.75">
      <c r="A13" s="882"/>
      <c r="B13" s="196"/>
      <c r="C13" s="196"/>
      <c r="D13" s="199">
        <v>4270</v>
      </c>
      <c r="E13" s="199" t="s">
        <v>307</v>
      </c>
      <c r="F13" s="497">
        <f t="shared" si="0"/>
        <v>10464.85</v>
      </c>
      <c r="G13" s="497">
        <f t="shared" si="1"/>
        <v>10464.85</v>
      </c>
      <c r="H13" s="497">
        <f t="shared" si="2"/>
        <v>10464.85</v>
      </c>
      <c r="I13" s="202"/>
      <c r="J13" s="202">
        <v>10464.85</v>
      </c>
      <c r="K13" s="202"/>
      <c r="L13" s="202"/>
      <c r="M13" s="202"/>
    </row>
    <row r="14" spans="1:13" ht="12.75">
      <c r="A14" s="881"/>
      <c r="B14" s="196"/>
      <c r="C14" s="196"/>
      <c r="D14" s="199">
        <v>4300</v>
      </c>
      <c r="E14" s="199" t="s">
        <v>310</v>
      </c>
      <c r="F14" s="497">
        <f t="shared" si="0"/>
        <v>2000</v>
      </c>
      <c r="G14" s="497">
        <f t="shared" si="1"/>
        <v>2000</v>
      </c>
      <c r="H14" s="497">
        <f t="shared" si="2"/>
        <v>2000</v>
      </c>
      <c r="I14" s="202"/>
      <c r="J14" s="202">
        <v>2000</v>
      </c>
      <c r="K14" s="202"/>
      <c r="L14" s="202"/>
      <c r="M14" s="202"/>
    </row>
    <row r="15" spans="1:13" ht="12.75">
      <c r="A15" s="880" t="s">
        <v>326</v>
      </c>
      <c r="B15" s="194">
        <v>600</v>
      </c>
      <c r="C15" s="194">
        <v>60016</v>
      </c>
      <c r="D15" s="194"/>
      <c r="E15" s="194" t="s">
        <v>119</v>
      </c>
      <c r="F15" s="195">
        <f t="shared" si="0"/>
        <v>18065.88</v>
      </c>
      <c r="G15" s="195">
        <f t="shared" si="1"/>
        <v>18065.88</v>
      </c>
      <c r="H15" s="195">
        <f t="shared" si="2"/>
        <v>18065.88</v>
      </c>
      <c r="I15" s="195"/>
      <c r="J15" s="195">
        <f>SUM(J16)</f>
        <v>18065.88</v>
      </c>
      <c r="K15" s="195"/>
      <c r="L15" s="195"/>
      <c r="M15" s="195"/>
    </row>
    <row r="16" spans="1:13" ht="12.75">
      <c r="A16" s="881"/>
      <c r="B16" s="196"/>
      <c r="C16" s="196"/>
      <c r="D16" s="199">
        <v>4270</v>
      </c>
      <c r="E16" s="199" t="s">
        <v>307</v>
      </c>
      <c r="F16" s="497">
        <f t="shared" si="0"/>
        <v>18065.88</v>
      </c>
      <c r="G16" s="497">
        <f t="shared" si="1"/>
        <v>18065.88</v>
      </c>
      <c r="H16" s="497">
        <f t="shared" si="2"/>
        <v>18065.88</v>
      </c>
      <c r="I16" s="497"/>
      <c r="J16" s="497">
        <v>18065.88</v>
      </c>
      <c r="K16" s="497"/>
      <c r="L16" s="497"/>
      <c r="M16" s="497"/>
    </row>
    <row r="17" spans="1:13" ht="12.75">
      <c r="A17" s="880" t="s">
        <v>327</v>
      </c>
      <c r="B17" s="194">
        <v>801</v>
      </c>
      <c r="C17" s="194">
        <v>80101</v>
      </c>
      <c r="D17" s="194"/>
      <c r="E17" s="194" t="s">
        <v>59</v>
      </c>
      <c r="F17" s="195">
        <f t="shared" si="0"/>
        <v>16436.49</v>
      </c>
      <c r="G17" s="195">
        <f t="shared" si="1"/>
        <v>16436.49</v>
      </c>
      <c r="H17" s="195">
        <f t="shared" si="2"/>
        <v>16436.49</v>
      </c>
      <c r="I17" s="195"/>
      <c r="J17" s="195">
        <f>SUM(J18)</f>
        <v>16436.49</v>
      </c>
      <c r="K17" s="195"/>
      <c r="L17" s="195"/>
      <c r="M17" s="195"/>
    </row>
    <row r="18" spans="1:13" ht="12.75">
      <c r="A18" s="881"/>
      <c r="B18" s="196"/>
      <c r="C18" s="196"/>
      <c r="D18" s="199">
        <v>4300</v>
      </c>
      <c r="E18" s="199" t="s">
        <v>310</v>
      </c>
      <c r="F18" s="497">
        <f t="shared" si="0"/>
        <v>16436.49</v>
      </c>
      <c r="G18" s="497">
        <f t="shared" si="1"/>
        <v>16436.49</v>
      </c>
      <c r="H18" s="497">
        <f t="shared" si="2"/>
        <v>16436.49</v>
      </c>
      <c r="I18" s="202"/>
      <c r="J18" s="202">
        <v>16436.49</v>
      </c>
      <c r="K18" s="202"/>
      <c r="L18" s="202"/>
      <c r="M18" s="202"/>
    </row>
    <row r="19" spans="1:13" ht="12.75">
      <c r="A19" s="880" t="s">
        <v>328</v>
      </c>
      <c r="B19" s="194">
        <v>926</v>
      </c>
      <c r="C19" s="194">
        <v>92605</v>
      </c>
      <c r="D19" s="194"/>
      <c r="E19" s="194" t="s">
        <v>246</v>
      </c>
      <c r="F19" s="195">
        <f t="shared" si="0"/>
        <v>10081.86</v>
      </c>
      <c r="G19" s="195">
        <f t="shared" si="1"/>
        <v>10081.86</v>
      </c>
      <c r="H19" s="195">
        <f t="shared" si="2"/>
        <v>10081.86</v>
      </c>
      <c r="I19" s="195"/>
      <c r="J19" s="195">
        <f>SUM(J20:J21)</f>
        <v>10081.86</v>
      </c>
      <c r="K19" s="195"/>
      <c r="L19" s="195"/>
      <c r="M19" s="195"/>
    </row>
    <row r="20" spans="1:13" ht="12.75">
      <c r="A20" s="882"/>
      <c r="B20" s="194"/>
      <c r="C20" s="194"/>
      <c r="D20" s="199">
        <v>4210</v>
      </c>
      <c r="E20" s="199" t="s">
        <v>308</v>
      </c>
      <c r="F20" s="497">
        <f t="shared" si="0"/>
        <v>2000</v>
      </c>
      <c r="G20" s="497">
        <f t="shared" si="1"/>
        <v>2000</v>
      </c>
      <c r="H20" s="497">
        <f t="shared" si="2"/>
        <v>2000</v>
      </c>
      <c r="I20" s="497"/>
      <c r="J20" s="497">
        <v>2000</v>
      </c>
      <c r="K20" s="497"/>
      <c r="L20" s="195"/>
      <c r="M20" s="195"/>
    </row>
    <row r="21" spans="1:13" ht="12.75">
      <c r="A21" s="881"/>
      <c r="B21" s="196"/>
      <c r="C21" s="196"/>
      <c r="D21" s="199">
        <v>4300</v>
      </c>
      <c r="E21" s="199" t="s">
        <v>310</v>
      </c>
      <c r="F21" s="497">
        <f t="shared" si="0"/>
        <v>8081.86</v>
      </c>
      <c r="G21" s="497">
        <f t="shared" si="1"/>
        <v>8081.86</v>
      </c>
      <c r="H21" s="497">
        <f t="shared" si="2"/>
        <v>8081.86</v>
      </c>
      <c r="I21" s="195"/>
      <c r="J21" s="195">
        <v>8081.86</v>
      </c>
      <c r="K21" s="195"/>
      <c r="L21" s="195"/>
      <c r="M21" s="195"/>
    </row>
    <row r="22" spans="1:13" ht="12.75">
      <c r="A22" s="880" t="s">
        <v>329</v>
      </c>
      <c r="B22" s="194">
        <v>801</v>
      </c>
      <c r="C22" s="194">
        <v>80101</v>
      </c>
      <c r="D22" s="194"/>
      <c r="E22" s="194" t="s">
        <v>59</v>
      </c>
      <c r="F22" s="195">
        <f t="shared" si="0"/>
        <v>2383.38</v>
      </c>
      <c r="G22" s="195">
        <f t="shared" si="1"/>
        <v>2383.38</v>
      </c>
      <c r="H22" s="195">
        <f t="shared" si="2"/>
        <v>2383.38</v>
      </c>
      <c r="I22" s="195"/>
      <c r="J22" s="195">
        <f>SUM(J23)</f>
        <v>2383.38</v>
      </c>
      <c r="K22" s="195"/>
      <c r="L22" s="195"/>
      <c r="M22" s="195"/>
    </row>
    <row r="23" spans="1:13" ht="12.75">
      <c r="A23" s="882"/>
      <c r="B23" s="196"/>
      <c r="C23" s="196"/>
      <c r="D23" s="199">
        <v>4210</v>
      </c>
      <c r="E23" s="199" t="s">
        <v>308</v>
      </c>
      <c r="F23" s="497">
        <f t="shared" si="0"/>
        <v>2383.38</v>
      </c>
      <c r="G23" s="497">
        <f t="shared" si="1"/>
        <v>2383.38</v>
      </c>
      <c r="H23" s="497">
        <f t="shared" si="2"/>
        <v>2383.38</v>
      </c>
      <c r="I23" s="202"/>
      <c r="J23" s="202">
        <v>2383.38</v>
      </c>
      <c r="K23" s="202"/>
      <c r="L23" s="202"/>
      <c r="M23" s="202"/>
    </row>
    <row r="24" spans="1:13" ht="12.75">
      <c r="A24" s="882"/>
      <c r="B24" s="194">
        <v>926</v>
      </c>
      <c r="C24" s="194">
        <v>92605</v>
      </c>
      <c r="D24" s="194"/>
      <c r="E24" s="194" t="s">
        <v>246</v>
      </c>
      <c r="F24" s="195">
        <f t="shared" si="0"/>
        <v>10000</v>
      </c>
      <c r="G24" s="195">
        <f t="shared" si="1"/>
        <v>10000</v>
      </c>
      <c r="H24" s="195">
        <f t="shared" si="2"/>
        <v>10000</v>
      </c>
      <c r="I24" s="195"/>
      <c r="J24" s="195">
        <f>SUM(J25)</f>
        <v>10000</v>
      </c>
      <c r="K24" s="195"/>
      <c r="L24" s="195"/>
      <c r="M24" s="195"/>
    </row>
    <row r="25" spans="1:13" ht="12.75">
      <c r="A25" s="881"/>
      <c r="B25" s="196"/>
      <c r="C25" s="196"/>
      <c r="D25" s="199">
        <v>4210</v>
      </c>
      <c r="E25" s="199" t="s">
        <v>308</v>
      </c>
      <c r="F25" s="497">
        <f t="shared" si="0"/>
        <v>10000</v>
      </c>
      <c r="G25" s="497">
        <f t="shared" si="1"/>
        <v>10000</v>
      </c>
      <c r="H25" s="497">
        <f t="shared" si="2"/>
        <v>10000</v>
      </c>
      <c r="I25" s="202"/>
      <c r="J25" s="202">
        <v>10000</v>
      </c>
      <c r="K25" s="202"/>
      <c r="L25" s="202"/>
      <c r="M25" s="202"/>
    </row>
    <row r="26" spans="1:13" ht="12.75">
      <c r="A26" s="880" t="s">
        <v>330</v>
      </c>
      <c r="B26" s="194">
        <v>921</v>
      </c>
      <c r="C26" s="194">
        <v>92109</v>
      </c>
      <c r="D26" s="194"/>
      <c r="E26" s="27" t="s">
        <v>150</v>
      </c>
      <c r="F26" s="195">
        <f t="shared" si="0"/>
        <v>8778.35</v>
      </c>
      <c r="G26" s="195">
        <f t="shared" si="1"/>
        <v>2778.35</v>
      </c>
      <c r="H26" s="195">
        <f t="shared" si="2"/>
        <v>2778.35</v>
      </c>
      <c r="I26" s="195" t="s">
        <v>60</v>
      </c>
      <c r="J26" s="195">
        <f>SUM(J27)</f>
        <v>2778.35</v>
      </c>
      <c r="K26" s="195"/>
      <c r="L26" s="195">
        <f>SUM(L27:L28)</f>
        <v>6000</v>
      </c>
      <c r="M26" s="195">
        <f>SUM(M27:M28)</f>
        <v>6000</v>
      </c>
    </row>
    <row r="27" spans="1:13" ht="12.75">
      <c r="A27" s="882"/>
      <c r="B27" s="196"/>
      <c r="C27" s="196"/>
      <c r="D27" s="199">
        <v>4210</v>
      </c>
      <c r="E27" s="199" t="s">
        <v>308</v>
      </c>
      <c r="F27" s="497">
        <f t="shared" si="0"/>
        <v>2778.35</v>
      </c>
      <c r="G27" s="497">
        <f t="shared" si="1"/>
        <v>2778.35</v>
      </c>
      <c r="H27" s="497">
        <f t="shared" si="2"/>
        <v>2778.35</v>
      </c>
      <c r="I27" s="202"/>
      <c r="J27" s="202">
        <v>2778.35</v>
      </c>
      <c r="K27" s="202"/>
      <c r="L27" s="202"/>
      <c r="M27" s="202"/>
    </row>
    <row r="28" spans="1:13" ht="12.75">
      <c r="A28" s="881"/>
      <c r="B28" s="196"/>
      <c r="C28" s="196"/>
      <c r="D28" s="199">
        <v>6060</v>
      </c>
      <c r="E28" s="199" t="s">
        <v>311</v>
      </c>
      <c r="F28" s="497">
        <f>SUM(G28+L28)</f>
        <v>6000</v>
      </c>
      <c r="G28" s="497">
        <f>SUM(H28)</f>
        <v>0</v>
      </c>
      <c r="H28" s="497">
        <f>SUM(I28:J28)</f>
        <v>0</v>
      </c>
      <c r="I28" s="202"/>
      <c r="J28" s="202"/>
      <c r="K28" s="202"/>
      <c r="L28" s="202">
        <v>6000</v>
      </c>
      <c r="M28" s="202">
        <v>6000</v>
      </c>
    </row>
    <row r="29" spans="1:13" ht="12.75">
      <c r="A29" s="880" t="s">
        <v>331</v>
      </c>
      <c r="B29" s="194">
        <v>600</v>
      </c>
      <c r="C29" s="194">
        <v>60016</v>
      </c>
      <c r="D29" s="194"/>
      <c r="E29" s="194" t="s">
        <v>119</v>
      </c>
      <c r="F29" s="195">
        <f t="shared" si="0"/>
        <v>7998.4</v>
      </c>
      <c r="G29" s="195">
        <f t="shared" si="1"/>
        <v>7998.4</v>
      </c>
      <c r="H29" s="195">
        <f t="shared" si="2"/>
        <v>7998.4</v>
      </c>
      <c r="I29" s="195"/>
      <c r="J29" s="195">
        <f>SUM(J30)</f>
        <v>7998.4</v>
      </c>
      <c r="K29" s="195"/>
      <c r="L29" s="195"/>
      <c r="M29" s="195"/>
    </row>
    <row r="30" spans="1:13" ht="12.75">
      <c r="A30" s="882"/>
      <c r="B30" s="196"/>
      <c r="C30" s="196"/>
      <c r="D30" s="199">
        <v>4300</v>
      </c>
      <c r="E30" s="199" t="s">
        <v>310</v>
      </c>
      <c r="F30" s="497">
        <f t="shared" si="0"/>
        <v>7998.4</v>
      </c>
      <c r="G30" s="497">
        <f t="shared" si="1"/>
        <v>7998.4</v>
      </c>
      <c r="H30" s="497">
        <f t="shared" si="2"/>
        <v>7998.4</v>
      </c>
      <c r="I30" s="202"/>
      <c r="J30" s="202">
        <v>7998.4</v>
      </c>
      <c r="K30" s="202"/>
      <c r="L30" s="202"/>
      <c r="M30" s="202"/>
    </row>
    <row r="31" spans="1:13" ht="12.75">
      <c r="A31" s="882"/>
      <c r="B31" s="194">
        <v>926</v>
      </c>
      <c r="C31" s="194">
        <v>92605</v>
      </c>
      <c r="D31" s="194"/>
      <c r="E31" s="194" t="s">
        <v>246</v>
      </c>
      <c r="F31" s="195">
        <f>SUM(G31+L31)</f>
        <v>3000</v>
      </c>
      <c r="G31" s="195">
        <f>SUM(H31)</f>
        <v>3000</v>
      </c>
      <c r="H31" s="195">
        <f>SUM(I31:J31)</f>
        <v>3000</v>
      </c>
      <c r="I31" s="201"/>
      <c r="J31" s="201">
        <f>SUM(J32)</f>
        <v>3000</v>
      </c>
      <c r="K31" s="202"/>
      <c r="L31" s="202"/>
      <c r="M31" s="202"/>
    </row>
    <row r="32" spans="1:13" ht="12.75">
      <c r="A32" s="881"/>
      <c r="B32" s="196"/>
      <c r="C32" s="196"/>
      <c r="D32" s="199">
        <v>4300</v>
      </c>
      <c r="E32" s="199" t="s">
        <v>310</v>
      </c>
      <c r="F32" s="497">
        <f>SUM(G32+L32)</f>
        <v>3000</v>
      </c>
      <c r="G32" s="497">
        <f>SUM(H32)</f>
        <v>3000</v>
      </c>
      <c r="H32" s="497">
        <f>SUM(I32:J32)</f>
        <v>3000</v>
      </c>
      <c r="I32" s="202"/>
      <c r="J32" s="202">
        <v>3000</v>
      </c>
      <c r="K32" s="202"/>
      <c r="L32" s="202"/>
      <c r="M32" s="202"/>
    </row>
    <row r="33" spans="1:13" ht="12.75">
      <c r="A33" s="880" t="s">
        <v>332</v>
      </c>
      <c r="B33" s="194">
        <v>754</v>
      </c>
      <c r="C33" s="194">
        <v>75412</v>
      </c>
      <c r="D33" s="194"/>
      <c r="E33" s="27" t="s">
        <v>167</v>
      </c>
      <c r="F33" s="195">
        <f t="shared" si="0"/>
        <v>11772.36</v>
      </c>
      <c r="G33" s="195">
        <f t="shared" si="1"/>
        <v>0</v>
      </c>
      <c r="H33" s="195">
        <f t="shared" si="2"/>
        <v>0</v>
      </c>
      <c r="I33" s="195"/>
      <c r="J33" s="195"/>
      <c r="K33" s="195"/>
      <c r="L33" s="195">
        <f>SUM(L34)</f>
        <v>11772.36</v>
      </c>
      <c r="M33" s="195">
        <f>SUM(M34)</f>
        <v>11772.36</v>
      </c>
    </row>
    <row r="34" spans="1:13" ht="12.75">
      <c r="A34" s="881"/>
      <c r="B34" s="196"/>
      <c r="C34" s="196"/>
      <c r="D34" s="199">
        <v>6050</v>
      </c>
      <c r="E34" s="498" t="s">
        <v>309</v>
      </c>
      <c r="F34" s="497">
        <f t="shared" si="0"/>
        <v>11772.36</v>
      </c>
      <c r="G34" s="497">
        <f t="shared" si="1"/>
        <v>0</v>
      </c>
      <c r="H34" s="497">
        <f t="shared" si="2"/>
        <v>0</v>
      </c>
      <c r="I34" s="497"/>
      <c r="J34" s="497"/>
      <c r="K34" s="497"/>
      <c r="L34" s="497">
        <v>11772.36</v>
      </c>
      <c r="M34" s="497">
        <v>11772.36</v>
      </c>
    </row>
    <row r="35" spans="1:13" ht="12.75">
      <c r="A35" s="880" t="s">
        <v>333</v>
      </c>
      <c r="B35" s="194">
        <v>600</v>
      </c>
      <c r="C35" s="194">
        <v>60016</v>
      </c>
      <c r="D35" s="194"/>
      <c r="E35" s="194" t="s">
        <v>119</v>
      </c>
      <c r="F35" s="195">
        <f t="shared" si="0"/>
        <v>17658.54</v>
      </c>
      <c r="G35" s="195">
        <f t="shared" si="1"/>
        <v>17658.54</v>
      </c>
      <c r="H35" s="195">
        <f t="shared" si="2"/>
        <v>17658.54</v>
      </c>
      <c r="I35" s="195"/>
      <c r="J35" s="195">
        <f>SUM(J36)</f>
        <v>17658.54</v>
      </c>
      <c r="K35" s="195"/>
      <c r="L35" s="195"/>
      <c r="M35" s="195"/>
    </row>
    <row r="36" spans="1:13" ht="12.75">
      <c r="A36" s="881"/>
      <c r="B36" s="196"/>
      <c r="C36" s="196"/>
      <c r="D36" s="199">
        <v>4270</v>
      </c>
      <c r="E36" s="199" t="s">
        <v>307</v>
      </c>
      <c r="F36" s="497">
        <f t="shared" si="0"/>
        <v>17658.54</v>
      </c>
      <c r="G36" s="497">
        <f t="shared" si="1"/>
        <v>17658.54</v>
      </c>
      <c r="H36" s="497">
        <f t="shared" si="2"/>
        <v>17658.54</v>
      </c>
      <c r="I36" s="202"/>
      <c r="J36" s="202">
        <v>17658.54</v>
      </c>
      <c r="K36" s="202"/>
      <c r="L36" s="202"/>
      <c r="M36" s="202"/>
    </row>
    <row r="37" spans="1:13" ht="12.75">
      <c r="A37" s="880" t="s">
        <v>334</v>
      </c>
      <c r="B37" s="194">
        <v>754</v>
      </c>
      <c r="C37" s="194">
        <v>75412</v>
      </c>
      <c r="D37" s="194"/>
      <c r="E37" s="27" t="s">
        <v>167</v>
      </c>
      <c r="F37" s="195">
        <f t="shared" si="0"/>
        <v>14868.2</v>
      </c>
      <c r="G37" s="195">
        <f t="shared" si="1"/>
        <v>0</v>
      </c>
      <c r="H37" s="195">
        <f t="shared" si="2"/>
        <v>0</v>
      </c>
      <c r="I37" s="195"/>
      <c r="J37" s="195"/>
      <c r="K37" s="195"/>
      <c r="L37" s="195">
        <f>SUM(L38)</f>
        <v>14868.2</v>
      </c>
      <c r="M37" s="195">
        <f>SUM(M38)</f>
        <v>14868.2</v>
      </c>
    </row>
    <row r="38" spans="1:13" ht="12.75">
      <c r="A38" s="881"/>
      <c r="B38" s="196"/>
      <c r="C38" s="196"/>
      <c r="D38" s="199">
        <v>6050</v>
      </c>
      <c r="E38" s="498" t="s">
        <v>309</v>
      </c>
      <c r="F38" s="497">
        <f t="shared" si="0"/>
        <v>14868.2</v>
      </c>
      <c r="G38" s="497">
        <f t="shared" si="1"/>
        <v>0</v>
      </c>
      <c r="H38" s="497">
        <f t="shared" si="2"/>
        <v>0</v>
      </c>
      <c r="I38" s="497"/>
      <c r="J38" s="497"/>
      <c r="K38" s="497"/>
      <c r="L38" s="497">
        <v>14868.2</v>
      </c>
      <c r="M38" s="497">
        <v>14868.2</v>
      </c>
    </row>
    <row r="39" spans="1:13" ht="12.75">
      <c r="A39" s="880" t="s">
        <v>335</v>
      </c>
      <c r="B39" s="194">
        <v>700</v>
      </c>
      <c r="C39" s="194">
        <v>70005</v>
      </c>
      <c r="D39" s="194"/>
      <c r="E39" s="194" t="s">
        <v>121</v>
      </c>
      <c r="F39" s="195">
        <f t="shared" si="0"/>
        <v>10326.27</v>
      </c>
      <c r="G39" s="195">
        <f t="shared" si="1"/>
        <v>0</v>
      </c>
      <c r="H39" s="195">
        <f t="shared" si="2"/>
        <v>0</v>
      </c>
      <c r="I39" s="195"/>
      <c r="J39" s="195"/>
      <c r="K39" s="195"/>
      <c r="L39" s="195">
        <f>SUM(L40)</f>
        <v>10326.27</v>
      </c>
      <c r="M39" s="195">
        <f>SUM(M40)</f>
        <v>10326.27</v>
      </c>
    </row>
    <row r="40" spans="1:13" ht="12.75">
      <c r="A40" s="881"/>
      <c r="B40" s="196"/>
      <c r="C40" s="196"/>
      <c r="D40" s="199">
        <v>6060</v>
      </c>
      <c r="E40" s="199" t="s">
        <v>311</v>
      </c>
      <c r="F40" s="497">
        <f t="shared" si="0"/>
        <v>10326.27</v>
      </c>
      <c r="G40" s="497">
        <f t="shared" si="1"/>
        <v>0</v>
      </c>
      <c r="H40" s="497">
        <f t="shared" si="2"/>
        <v>0</v>
      </c>
      <c r="I40" s="202"/>
      <c r="J40" s="202"/>
      <c r="K40" s="202"/>
      <c r="L40" s="202">
        <v>10326.27</v>
      </c>
      <c r="M40" s="202">
        <v>10326.27</v>
      </c>
    </row>
    <row r="41" spans="1:13" ht="12.75">
      <c r="A41" s="880" t="s">
        <v>336</v>
      </c>
      <c r="B41" s="194">
        <v>600</v>
      </c>
      <c r="C41" s="194">
        <v>60016</v>
      </c>
      <c r="D41" s="194"/>
      <c r="E41" s="194" t="s">
        <v>119</v>
      </c>
      <c r="F41" s="195">
        <f t="shared" si="0"/>
        <v>10387.37</v>
      </c>
      <c r="G41" s="195">
        <f t="shared" si="1"/>
        <v>10387.37</v>
      </c>
      <c r="H41" s="195">
        <f t="shared" si="2"/>
        <v>10387.37</v>
      </c>
      <c r="I41" s="195"/>
      <c r="J41" s="195">
        <f>SUM(J42)</f>
        <v>10387.37</v>
      </c>
      <c r="K41" s="195"/>
      <c r="L41" s="195"/>
      <c r="M41" s="195"/>
    </row>
    <row r="42" spans="1:13" ht="12.75">
      <c r="A42" s="881"/>
      <c r="B42" s="196"/>
      <c r="C42" s="196"/>
      <c r="D42" s="199">
        <v>4210</v>
      </c>
      <c r="E42" s="199" t="s">
        <v>308</v>
      </c>
      <c r="F42" s="497">
        <f t="shared" si="0"/>
        <v>10387.37</v>
      </c>
      <c r="G42" s="497">
        <f t="shared" si="1"/>
        <v>10387.37</v>
      </c>
      <c r="H42" s="497">
        <f t="shared" si="2"/>
        <v>10387.37</v>
      </c>
      <c r="I42" s="202"/>
      <c r="J42" s="202">
        <v>10387.37</v>
      </c>
      <c r="K42" s="202"/>
      <c r="L42" s="202"/>
      <c r="M42" s="202"/>
    </row>
    <row r="43" spans="1:13" ht="12.75">
      <c r="A43" s="880" t="s">
        <v>337</v>
      </c>
      <c r="B43" s="194">
        <v>921</v>
      </c>
      <c r="C43" s="194">
        <v>92109</v>
      </c>
      <c r="D43" s="194"/>
      <c r="E43" s="27" t="s">
        <v>150</v>
      </c>
      <c r="F43" s="195">
        <f t="shared" si="0"/>
        <v>8656.15</v>
      </c>
      <c r="G43" s="195">
        <f t="shared" si="1"/>
        <v>0</v>
      </c>
      <c r="H43" s="195">
        <f t="shared" si="2"/>
        <v>0</v>
      </c>
      <c r="I43" s="195"/>
      <c r="J43" s="195"/>
      <c r="K43" s="195"/>
      <c r="L43" s="195">
        <f>SUM(L44)</f>
        <v>8656.15</v>
      </c>
      <c r="M43" s="195">
        <f>SUM(M44)</f>
        <v>8656.15</v>
      </c>
    </row>
    <row r="44" spans="1:13" ht="12.75">
      <c r="A44" s="881"/>
      <c r="B44" s="196"/>
      <c r="C44" s="196"/>
      <c r="D44" s="199">
        <v>6050</v>
      </c>
      <c r="E44" s="498" t="s">
        <v>309</v>
      </c>
      <c r="F44" s="497">
        <f t="shared" si="0"/>
        <v>8656.15</v>
      </c>
      <c r="G44" s="497">
        <f t="shared" si="1"/>
        <v>0</v>
      </c>
      <c r="H44" s="497">
        <f t="shared" si="2"/>
        <v>0</v>
      </c>
      <c r="I44" s="497"/>
      <c r="J44" s="497"/>
      <c r="K44" s="497"/>
      <c r="L44" s="497">
        <v>8656.15</v>
      </c>
      <c r="M44" s="497">
        <v>8656.15</v>
      </c>
    </row>
    <row r="45" spans="1:13" ht="12.75">
      <c r="A45" s="880" t="s">
        <v>338</v>
      </c>
      <c r="B45" s="180">
        <v>921</v>
      </c>
      <c r="C45" s="194">
        <v>92109</v>
      </c>
      <c r="D45" s="194"/>
      <c r="E45" s="27" t="s">
        <v>150</v>
      </c>
      <c r="F45" s="195">
        <f t="shared" si="0"/>
        <v>1000</v>
      </c>
      <c r="G45" s="195">
        <f t="shared" si="1"/>
        <v>1000</v>
      </c>
      <c r="H45" s="195">
        <f t="shared" si="2"/>
        <v>1000</v>
      </c>
      <c r="I45" s="195"/>
      <c r="J45" s="195">
        <f>SUM(J46)</f>
        <v>1000</v>
      </c>
      <c r="K45" s="195"/>
      <c r="L45" s="195"/>
      <c r="M45" s="195"/>
    </row>
    <row r="46" spans="1:13" ht="12.75">
      <c r="A46" s="882"/>
      <c r="B46" s="196"/>
      <c r="C46" s="196"/>
      <c r="D46" s="199">
        <v>4210</v>
      </c>
      <c r="E46" s="199" t="s">
        <v>308</v>
      </c>
      <c r="F46" s="497">
        <f t="shared" si="0"/>
        <v>1000</v>
      </c>
      <c r="G46" s="497">
        <f t="shared" si="1"/>
        <v>1000</v>
      </c>
      <c r="H46" s="497">
        <f t="shared" si="2"/>
        <v>1000</v>
      </c>
      <c r="I46" s="202"/>
      <c r="J46" s="202">
        <v>1000</v>
      </c>
      <c r="K46" s="202"/>
      <c r="L46" s="202"/>
      <c r="M46" s="202"/>
    </row>
    <row r="47" spans="1:13" ht="12.75">
      <c r="A47" s="882"/>
      <c r="B47" s="180">
        <v>900</v>
      </c>
      <c r="C47" s="194">
        <v>90095</v>
      </c>
      <c r="D47" s="194"/>
      <c r="E47" s="194" t="s">
        <v>161</v>
      </c>
      <c r="F47" s="195">
        <f t="shared" si="0"/>
        <v>7200</v>
      </c>
      <c r="G47" s="195">
        <f t="shared" si="1"/>
        <v>7200</v>
      </c>
      <c r="H47" s="195">
        <f t="shared" si="2"/>
        <v>7200</v>
      </c>
      <c r="I47" s="195"/>
      <c r="J47" s="195">
        <f>SUM(J48:J49)</f>
        <v>7200</v>
      </c>
      <c r="K47" s="195"/>
      <c r="L47" s="195"/>
      <c r="M47" s="195"/>
    </row>
    <row r="48" spans="1:13" ht="12.75">
      <c r="A48" s="882"/>
      <c r="B48" s="196"/>
      <c r="C48" s="196"/>
      <c r="D48" s="199">
        <v>4210</v>
      </c>
      <c r="E48" s="199" t="s">
        <v>308</v>
      </c>
      <c r="F48" s="497">
        <f t="shared" si="0"/>
        <v>4200</v>
      </c>
      <c r="G48" s="497">
        <f t="shared" si="1"/>
        <v>4200</v>
      </c>
      <c r="H48" s="497">
        <f t="shared" si="2"/>
        <v>4200</v>
      </c>
      <c r="I48" s="202"/>
      <c r="J48" s="202">
        <v>4200</v>
      </c>
      <c r="K48" s="202"/>
      <c r="L48" s="202"/>
      <c r="M48" s="202"/>
    </row>
    <row r="49" spans="1:13" ht="12.75">
      <c r="A49" s="881"/>
      <c r="B49" s="196"/>
      <c r="C49" s="196"/>
      <c r="D49" s="199">
        <v>4300</v>
      </c>
      <c r="E49" s="199" t="s">
        <v>310</v>
      </c>
      <c r="F49" s="497">
        <f t="shared" si="0"/>
        <v>3000</v>
      </c>
      <c r="G49" s="497">
        <f t="shared" si="1"/>
        <v>3000</v>
      </c>
      <c r="H49" s="497">
        <f t="shared" si="2"/>
        <v>3000</v>
      </c>
      <c r="I49" s="202"/>
      <c r="J49" s="202">
        <v>3000</v>
      </c>
      <c r="K49" s="202"/>
      <c r="L49" s="202"/>
      <c r="M49" s="202"/>
    </row>
    <row r="50" spans="1:13" ht="12.75">
      <c r="A50" s="880" t="s">
        <v>339</v>
      </c>
      <c r="B50" s="180">
        <v>921</v>
      </c>
      <c r="C50" s="194">
        <v>92109</v>
      </c>
      <c r="D50" s="194"/>
      <c r="E50" s="27" t="s">
        <v>150</v>
      </c>
      <c r="F50" s="195">
        <f t="shared" si="0"/>
        <v>13564.69</v>
      </c>
      <c r="G50" s="195">
        <f t="shared" si="1"/>
        <v>13564.69</v>
      </c>
      <c r="H50" s="195">
        <f t="shared" si="2"/>
        <v>13564.69</v>
      </c>
      <c r="I50" s="195"/>
      <c r="J50" s="195">
        <f>SUM(J51)</f>
        <v>13564.69</v>
      </c>
      <c r="K50" s="195"/>
      <c r="L50" s="195"/>
      <c r="M50" s="195"/>
    </row>
    <row r="51" spans="1:13" ht="12.75">
      <c r="A51" s="881"/>
      <c r="B51" s="196"/>
      <c r="C51" s="198"/>
      <c r="D51" s="199">
        <v>4270</v>
      </c>
      <c r="E51" s="199" t="s">
        <v>299</v>
      </c>
      <c r="F51" s="497">
        <f t="shared" si="0"/>
        <v>13564.69</v>
      </c>
      <c r="G51" s="497">
        <f t="shared" si="1"/>
        <v>13564.69</v>
      </c>
      <c r="H51" s="497">
        <f t="shared" si="2"/>
        <v>13564.69</v>
      </c>
      <c r="I51" s="202"/>
      <c r="J51" s="202">
        <v>13564.69</v>
      </c>
      <c r="K51" s="202"/>
      <c r="L51" s="202"/>
      <c r="M51" s="202"/>
    </row>
    <row r="52" spans="1:13" ht="12.75">
      <c r="A52" s="880" t="s">
        <v>340</v>
      </c>
      <c r="B52" s="180">
        <v>600</v>
      </c>
      <c r="C52" s="197">
        <v>60016</v>
      </c>
      <c r="D52" s="197"/>
      <c r="E52" s="194" t="s">
        <v>119</v>
      </c>
      <c r="F52" s="195">
        <f t="shared" si="0"/>
        <v>17567.08</v>
      </c>
      <c r="G52" s="203">
        <f t="shared" si="1"/>
        <v>17567.08</v>
      </c>
      <c r="H52" s="195">
        <f t="shared" si="2"/>
        <v>17567.08</v>
      </c>
      <c r="I52" s="195"/>
      <c r="J52" s="195">
        <f>SUM(J53)</f>
        <v>17567.08</v>
      </c>
      <c r="K52" s="195"/>
      <c r="L52" s="195"/>
      <c r="M52" s="195"/>
    </row>
    <row r="53" spans="1:13" ht="12.75">
      <c r="A53" s="882"/>
      <c r="B53" s="196"/>
      <c r="C53" s="198"/>
      <c r="D53" s="199">
        <v>4270</v>
      </c>
      <c r="E53" s="199" t="s">
        <v>299</v>
      </c>
      <c r="F53" s="497">
        <f t="shared" si="0"/>
        <v>17567.08</v>
      </c>
      <c r="G53" s="497">
        <f t="shared" si="1"/>
        <v>17567.08</v>
      </c>
      <c r="H53" s="497">
        <f t="shared" si="2"/>
        <v>17567.08</v>
      </c>
      <c r="I53" s="202"/>
      <c r="J53" s="202">
        <v>17567.08</v>
      </c>
      <c r="K53" s="202"/>
      <c r="L53" s="202"/>
      <c r="M53" s="202"/>
    </row>
    <row r="54" spans="1:13" ht="12.75">
      <c r="A54" s="882"/>
      <c r="B54" s="194">
        <v>921</v>
      </c>
      <c r="C54" s="194">
        <v>92109</v>
      </c>
      <c r="D54" s="194"/>
      <c r="E54" s="27" t="s">
        <v>150</v>
      </c>
      <c r="F54" s="195">
        <f t="shared" si="0"/>
        <v>5000</v>
      </c>
      <c r="G54" s="203">
        <f t="shared" si="1"/>
        <v>5000</v>
      </c>
      <c r="H54" s="195">
        <f t="shared" si="2"/>
        <v>5000</v>
      </c>
      <c r="I54" s="201"/>
      <c r="J54" s="201">
        <f>SUM(J55)</f>
        <v>5000</v>
      </c>
      <c r="K54" s="201"/>
      <c r="L54" s="202"/>
      <c r="M54" s="202"/>
    </row>
    <row r="55" spans="1:13" ht="12.75">
      <c r="A55" s="882"/>
      <c r="B55" s="196"/>
      <c r="C55" s="196"/>
      <c r="D55" s="199">
        <v>4210</v>
      </c>
      <c r="E55" s="199" t="s">
        <v>308</v>
      </c>
      <c r="F55" s="497">
        <f t="shared" si="0"/>
        <v>5000</v>
      </c>
      <c r="G55" s="497">
        <f t="shared" si="1"/>
        <v>5000</v>
      </c>
      <c r="H55" s="497">
        <f t="shared" si="2"/>
        <v>5000</v>
      </c>
      <c r="I55" s="202"/>
      <c r="J55" s="202">
        <v>5000</v>
      </c>
      <c r="K55" s="202"/>
      <c r="L55" s="202"/>
      <c r="M55" s="202"/>
    </row>
    <row r="56" spans="1:13" ht="12.75">
      <c r="A56" s="883" t="s">
        <v>341</v>
      </c>
      <c r="B56" s="180">
        <v>600</v>
      </c>
      <c r="C56" s="197">
        <v>60016</v>
      </c>
      <c r="D56" s="197"/>
      <c r="E56" s="194" t="s">
        <v>119</v>
      </c>
      <c r="F56" s="195">
        <f t="shared" si="0"/>
        <v>7006.78</v>
      </c>
      <c r="G56" s="203">
        <f t="shared" si="1"/>
        <v>7006.78</v>
      </c>
      <c r="H56" s="195">
        <f t="shared" si="2"/>
        <v>7006.78</v>
      </c>
      <c r="I56" s="202"/>
      <c r="J56" s="201">
        <f>SUM(J57)</f>
        <v>7006.78</v>
      </c>
      <c r="K56" s="202"/>
      <c r="L56" s="202"/>
      <c r="M56" s="202"/>
    </row>
    <row r="57" spans="1:13" ht="12.75">
      <c r="A57" s="882"/>
      <c r="B57" s="196"/>
      <c r="C57" s="196"/>
      <c r="D57" s="199">
        <v>4300</v>
      </c>
      <c r="E57" s="199" t="s">
        <v>310</v>
      </c>
      <c r="F57" s="497">
        <f t="shared" si="0"/>
        <v>7006.78</v>
      </c>
      <c r="G57" s="497">
        <f t="shared" si="1"/>
        <v>7006.78</v>
      </c>
      <c r="H57" s="497">
        <f t="shared" si="2"/>
        <v>7006.78</v>
      </c>
      <c r="I57" s="202"/>
      <c r="J57" s="202">
        <v>7006.78</v>
      </c>
      <c r="K57" s="202"/>
      <c r="L57" s="202"/>
      <c r="M57" s="202"/>
    </row>
    <row r="58" spans="1:13" ht="12.75">
      <c r="A58" s="882"/>
      <c r="B58" s="194">
        <v>900</v>
      </c>
      <c r="C58" s="194">
        <v>90095</v>
      </c>
      <c r="D58" s="199"/>
      <c r="E58" s="194" t="s">
        <v>161</v>
      </c>
      <c r="F58" s="195">
        <f t="shared" si="0"/>
        <v>8000</v>
      </c>
      <c r="G58" s="203">
        <f t="shared" si="1"/>
        <v>0</v>
      </c>
      <c r="H58" s="195">
        <f t="shared" si="2"/>
        <v>0</v>
      </c>
      <c r="I58" s="202"/>
      <c r="J58" s="201"/>
      <c r="K58" s="201"/>
      <c r="L58" s="201">
        <f>SUM(L59)</f>
        <v>8000</v>
      </c>
      <c r="M58" s="201">
        <f>SUM(M59)</f>
        <v>8000</v>
      </c>
    </row>
    <row r="59" spans="1:13" ht="12.75">
      <c r="A59" s="882"/>
      <c r="B59" s="196"/>
      <c r="C59" s="196"/>
      <c r="D59" s="199">
        <v>6060</v>
      </c>
      <c r="E59" s="199" t="s">
        <v>311</v>
      </c>
      <c r="F59" s="497">
        <f t="shared" si="0"/>
        <v>8000</v>
      </c>
      <c r="G59" s="497">
        <f t="shared" si="1"/>
        <v>0</v>
      </c>
      <c r="H59" s="497">
        <f t="shared" si="2"/>
        <v>0</v>
      </c>
      <c r="I59" s="202"/>
      <c r="J59" s="202"/>
      <c r="K59" s="202"/>
      <c r="L59" s="202">
        <v>8000</v>
      </c>
      <c r="M59" s="202">
        <v>8000</v>
      </c>
    </row>
    <row r="60" spans="1:13" ht="12.75">
      <c r="A60" s="882"/>
      <c r="B60" s="180">
        <v>921</v>
      </c>
      <c r="C60" s="194">
        <v>92109</v>
      </c>
      <c r="D60" s="194"/>
      <c r="E60" s="27" t="s">
        <v>150</v>
      </c>
      <c r="F60" s="195">
        <f t="shared" si="0"/>
        <v>2000</v>
      </c>
      <c r="G60" s="203">
        <f t="shared" si="1"/>
        <v>2000</v>
      </c>
      <c r="H60" s="195">
        <f t="shared" si="2"/>
        <v>2000</v>
      </c>
      <c r="I60" s="195"/>
      <c r="J60" s="195">
        <f>SUM(J61)</f>
        <v>2000</v>
      </c>
      <c r="K60" s="195"/>
      <c r="L60" s="195"/>
      <c r="M60" s="195"/>
    </row>
    <row r="61" spans="1:13" ht="12.75">
      <c r="A61" s="882"/>
      <c r="B61" s="196"/>
      <c r="C61" s="196"/>
      <c r="D61" s="199">
        <v>4210</v>
      </c>
      <c r="E61" s="199" t="s">
        <v>308</v>
      </c>
      <c r="F61" s="497">
        <f>SUM(G61+L61)</f>
        <v>2000</v>
      </c>
      <c r="G61" s="497">
        <f>SUM(H61)</f>
        <v>2000</v>
      </c>
      <c r="H61" s="497">
        <f>SUM(I61:J61)</f>
        <v>2000</v>
      </c>
      <c r="I61" s="202"/>
      <c r="J61" s="202">
        <v>2000</v>
      </c>
      <c r="K61" s="202"/>
      <c r="L61" s="202"/>
      <c r="M61" s="202"/>
    </row>
    <row r="62" spans="1:13" ht="12.75">
      <c r="A62" s="880" t="s">
        <v>342</v>
      </c>
      <c r="B62" s="180">
        <v>921</v>
      </c>
      <c r="C62" s="194">
        <v>92109</v>
      </c>
      <c r="D62" s="194"/>
      <c r="E62" s="27" t="s">
        <v>150</v>
      </c>
      <c r="F62" s="195">
        <f t="shared" si="0"/>
        <v>12057.5</v>
      </c>
      <c r="G62" s="203">
        <f t="shared" si="1"/>
        <v>12057.5</v>
      </c>
      <c r="H62" s="195">
        <f t="shared" si="2"/>
        <v>12057.5</v>
      </c>
      <c r="I62" s="195"/>
      <c r="J62" s="195">
        <f>SUM(J63)</f>
        <v>12057.5</v>
      </c>
      <c r="K62" s="195"/>
      <c r="L62" s="195"/>
      <c r="M62" s="195"/>
    </row>
    <row r="63" spans="1:13" ht="12.75">
      <c r="A63" s="881"/>
      <c r="B63" s="196"/>
      <c r="C63" s="196"/>
      <c r="D63" s="199">
        <v>4210</v>
      </c>
      <c r="E63" s="199" t="s">
        <v>308</v>
      </c>
      <c r="F63" s="497">
        <f>SUM(G63+L63)</f>
        <v>12057.5</v>
      </c>
      <c r="G63" s="497">
        <f>SUM(H63)</f>
        <v>12057.5</v>
      </c>
      <c r="H63" s="497">
        <f>SUM(I63:J63)</f>
        <v>12057.5</v>
      </c>
      <c r="I63" s="202"/>
      <c r="J63" s="202">
        <v>12057.5</v>
      </c>
      <c r="K63" s="202"/>
      <c r="L63" s="202"/>
      <c r="M63" s="202"/>
    </row>
    <row r="64" spans="1:13" ht="12.75">
      <c r="A64" s="880" t="s">
        <v>343</v>
      </c>
      <c r="B64" s="194">
        <v>926</v>
      </c>
      <c r="C64" s="194">
        <v>92605</v>
      </c>
      <c r="D64" s="194"/>
      <c r="E64" s="194" t="s">
        <v>246</v>
      </c>
      <c r="F64" s="195">
        <f t="shared" si="0"/>
        <v>13931.3</v>
      </c>
      <c r="G64" s="203">
        <f t="shared" si="1"/>
        <v>13931.3</v>
      </c>
      <c r="H64" s="195">
        <f t="shared" si="2"/>
        <v>13931.3</v>
      </c>
      <c r="I64" s="195"/>
      <c r="J64" s="195">
        <f>SUM(J65)</f>
        <v>13931.3</v>
      </c>
      <c r="K64" s="195"/>
      <c r="L64" s="195"/>
      <c r="M64" s="195"/>
    </row>
    <row r="65" spans="1:13" ht="12.75">
      <c r="A65" s="881"/>
      <c r="B65" s="196"/>
      <c r="C65" s="196"/>
      <c r="D65" s="199">
        <v>4300</v>
      </c>
      <c r="E65" s="199" t="s">
        <v>310</v>
      </c>
      <c r="F65" s="497">
        <f>SUM(G65+L65)</f>
        <v>13931.3</v>
      </c>
      <c r="G65" s="497">
        <f>SUM(H65)</f>
        <v>13931.3</v>
      </c>
      <c r="H65" s="497">
        <f>SUM(I65:J65)</f>
        <v>13931.3</v>
      </c>
      <c r="I65" s="202"/>
      <c r="J65" s="202">
        <v>13931.3</v>
      </c>
      <c r="K65" s="202"/>
      <c r="L65" s="202"/>
      <c r="M65" s="202"/>
    </row>
    <row r="66" spans="1:13" ht="12.75">
      <c r="A66" s="880" t="s">
        <v>344</v>
      </c>
      <c r="B66" s="180">
        <v>700</v>
      </c>
      <c r="C66" s="197">
        <v>70005</v>
      </c>
      <c r="D66" s="197"/>
      <c r="E66" s="108" t="s">
        <v>121</v>
      </c>
      <c r="F66" s="195">
        <f t="shared" si="0"/>
        <v>12872.2</v>
      </c>
      <c r="G66" s="203">
        <f t="shared" si="1"/>
        <v>0</v>
      </c>
      <c r="H66" s="195">
        <f t="shared" si="2"/>
        <v>0</v>
      </c>
      <c r="I66" s="195"/>
      <c r="J66" s="195"/>
      <c r="K66" s="195"/>
      <c r="L66" s="195">
        <f>SUM(L67)</f>
        <v>12872.2</v>
      </c>
      <c r="M66" s="195">
        <f>SUM(M67)</f>
        <v>12872.2</v>
      </c>
    </row>
    <row r="67" spans="1:13" ht="12.75">
      <c r="A67" s="881"/>
      <c r="B67" s="196"/>
      <c r="C67" s="198"/>
      <c r="D67" s="199">
        <v>6060</v>
      </c>
      <c r="E67" s="199" t="s">
        <v>311</v>
      </c>
      <c r="F67" s="497">
        <f>SUM(G67+L67)</f>
        <v>12872.2</v>
      </c>
      <c r="G67" s="497">
        <f>SUM(H67)</f>
        <v>0</v>
      </c>
      <c r="H67" s="497">
        <f>SUM(I67:J67)</f>
        <v>0</v>
      </c>
      <c r="I67" s="202"/>
      <c r="J67" s="202"/>
      <c r="K67" s="202"/>
      <c r="L67" s="202">
        <v>12872.2</v>
      </c>
      <c r="M67" s="202">
        <v>12872.2</v>
      </c>
    </row>
    <row r="68" spans="1:13" ht="12.75">
      <c r="A68" s="880" t="s">
        <v>345</v>
      </c>
      <c r="B68" s="180">
        <v>700</v>
      </c>
      <c r="C68" s="197">
        <v>70005</v>
      </c>
      <c r="D68" s="197"/>
      <c r="E68" s="108" t="s">
        <v>121</v>
      </c>
      <c r="F68" s="195">
        <f t="shared" si="0"/>
        <v>2000</v>
      </c>
      <c r="G68" s="203">
        <f t="shared" si="1"/>
        <v>0</v>
      </c>
      <c r="H68" s="195">
        <f t="shared" si="2"/>
        <v>0</v>
      </c>
      <c r="I68" s="195"/>
      <c r="J68" s="195"/>
      <c r="K68" s="195"/>
      <c r="L68" s="195">
        <f>SUM(L69)</f>
        <v>2000</v>
      </c>
      <c r="M68" s="195">
        <f>SUM(M69)</f>
        <v>2000</v>
      </c>
    </row>
    <row r="69" spans="1:13" ht="12.75">
      <c r="A69" s="882"/>
      <c r="B69" s="196"/>
      <c r="C69" s="198"/>
      <c r="D69" s="199">
        <v>6060</v>
      </c>
      <c r="E69" s="199" t="s">
        <v>311</v>
      </c>
      <c r="F69" s="497">
        <f>SUM(G69+L69)</f>
        <v>2000</v>
      </c>
      <c r="G69" s="497">
        <f>SUM(H69)</f>
        <v>0</v>
      </c>
      <c r="H69" s="497">
        <f>SUM(I69:J69)</f>
        <v>0</v>
      </c>
      <c r="I69" s="202"/>
      <c r="J69" s="202"/>
      <c r="K69" s="202"/>
      <c r="L69" s="202">
        <v>2000</v>
      </c>
      <c r="M69" s="202">
        <v>2000</v>
      </c>
    </row>
    <row r="70" spans="1:13" ht="12.75">
      <c r="A70" s="882"/>
      <c r="B70" s="180">
        <v>921</v>
      </c>
      <c r="C70" s="194">
        <v>92109</v>
      </c>
      <c r="D70" s="194"/>
      <c r="E70" s="27" t="s">
        <v>150</v>
      </c>
      <c r="F70" s="195">
        <f>SUM(G70+L70)</f>
        <v>5087.86</v>
      </c>
      <c r="G70" s="203">
        <f>SUM(H70)</f>
        <v>5087.86</v>
      </c>
      <c r="H70" s="195">
        <f>SUM(I70:J70)</f>
        <v>5087.86</v>
      </c>
      <c r="I70" s="202"/>
      <c r="J70" s="201">
        <f>SUM(J71)</f>
        <v>5087.86</v>
      </c>
      <c r="K70" s="202"/>
      <c r="L70" s="202"/>
      <c r="M70" s="202"/>
    </row>
    <row r="71" spans="1:13" ht="12.75">
      <c r="A71" s="881"/>
      <c r="B71" s="204"/>
      <c r="C71" s="204"/>
      <c r="D71" s="199">
        <v>4210</v>
      </c>
      <c r="E71" s="199" t="s">
        <v>308</v>
      </c>
      <c r="F71" s="497">
        <f>SUM(G71+L71)</f>
        <v>5087.86</v>
      </c>
      <c r="G71" s="497">
        <f>SUM(H71)</f>
        <v>5087.86</v>
      </c>
      <c r="H71" s="497">
        <f>SUM(I71:J71)</f>
        <v>5087.86</v>
      </c>
      <c r="I71" s="202"/>
      <c r="J71" s="202">
        <v>5087.86</v>
      </c>
      <c r="K71" s="202"/>
      <c r="L71" s="202"/>
      <c r="M71" s="202"/>
    </row>
    <row r="72" spans="1:13" ht="12.75">
      <c r="A72" s="880" t="s">
        <v>346</v>
      </c>
      <c r="B72" s="180">
        <v>600</v>
      </c>
      <c r="C72" s="197">
        <v>60016</v>
      </c>
      <c r="D72" s="197"/>
      <c r="E72" s="194" t="s">
        <v>119</v>
      </c>
      <c r="F72" s="195">
        <f t="shared" si="0"/>
        <v>7047.12</v>
      </c>
      <c r="G72" s="203">
        <f t="shared" si="1"/>
        <v>7047.12</v>
      </c>
      <c r="H72" s="195">
        <f t="shared" si="2"/>
        <v>7047.12</v>
      </c>
      <c r="I72" s="195"/>
      <c r="J72" s="195">
        <f>SUM(J73)</f>
        <v>7047.12</v>
      </c>
      <c r="K72" s="195"/>
      <c r="L72" s="195"/>
      <c r="M72" s="195"/>
    </row>
    <row r="73" spans="1:13" ht="12.75">
      <c r="A73" s="881"/>
      <c r="B73" s="196"/>
      <c r="C73" s="198"/>
      <c r="D73" s="199">
        <v>4270</v>
      </c>
      <c r="E73" s="199" t="s">
        <v>299</v>
      </c>
      <c r="F73" s="497">
        <f>SUM(G73+L73)</f>
        <v>7047.12</v>
      </c>
      <c r="G73" s="497">
        <f>SUM(H73)</f>
        <v>7047.12</v>
      </c>
      <c r="H73" s="497">
        <f>SUM(I73:J73)</f>
        <v>7047.12</v>
      </c>
      <c r="I73" s="202"/>
      <c r="J73" s="202">
        <v>7047.12</v>
      </c>
      <c r="K73" s="202"/>
      <c r="L73" s="202"/>
      <c r="M73" s="202"/>
    </row>
    <row r="74" spans="1:13" ht="12.75">
      <c r="A74" s="880" t="s">
        <v>347</v>
      </c>
      <c r="B74" s="180">
        <v>921</v>
      </c>
      <c r="C74" s="194">
        <v>92109</v>
      </c>
      <c r="D74" s="194"/>
      <c r="E74" s="27" t="s">
        <v>150</v>
      </c>
      <c r="F74" s="195">
        <f t="shared" si="0"/>
        <v>8065.49</v>
      </c>
      <c r="G74" s="203">
        <f t="shared" si="1"/>
        <v>8065.49</v>
      </c>
      <c r="H74" s="195">
        <f t="shared" si="2"/>
        <v>8065.49</v>
      </c>
      <c r="I74" s="195"/>
      <c r="J74" s="195">
        <f>SUM(J75)</f>
        <v>8065.49</v>
      </c>
      <c r="K74" s="195"/>
      <c r="L74" s="195"/>
      <c r="M74" s="195"/>
    </row>
    <row r="75" spans="1:13" ht="12.75">
      <c r="A75" s="881"/>
      <c r="B75" s="196"/>
      <c r="C75" s="196"/>
      <c r="D75" s="199">
        <v>4210</v>
      </c>
      <c r="E75" s="199" t="s">
        <v>308</v>
      </c>
      <c r="F75" s="497">
        <f>SUM(G75+L75)</f>
        <v>8065.49</v>
      </c>
      <c r="G75" s="497">
        <f>SUM(H75)</f>
        <v>8065.49</v>
      </c>
      <c r="H75" s="497">
        <f>SUM(I75:J75)</f>
        <v>8065.49</v>
      </c>
      <c r="I75" s="202"/>
      <c r="J75" s="202">
        <v>8065.49</v>
      </c>
      <c r="K75" s="202"/>
      <c r="L75" s="202"/>
      <c r="M75" s="202"/>
    </row>
    <row r="76" spans="1:13" ht="12.75">
      <c r="A76" s="880" t="s">
        <v>348</v>
      </c>
      <c r="B76" s="180">
        <v>921</v>
      </c>
      <c r="C76" s="194">
        <v>92109</v>
      </c>
      <c r="D76" s="194"/>
      <c r="E76" s="27" t="s">
        <v>150</v>
      </c>
      <c r="F76" s="195">
        <f t="shared" si="0"/>
        <v>19695.28</v>
      </c>
      <c r="G76" s="203">
        <f t="shared" si="1"/>
        <v>0</v>
      </c>
      <c r="H76" s="195">
        <f t="shared" si="2"/>
        <v>0</v>
      </c>
      <c r="I76" s="195"/>
      <c r="J76" s="195"/>
      <c r="K76" s="195"/>
      <c r="L76" s="195">
        <f>SUM(L77)</f>
        <v>19695.28</v>
      </c>
      <c r="M76" s="195">
        <f>SUM(M77)</f>
        <v>19695.28</v>
      </c>
    </row>
    <row r="77" spans="1:13" ht="12.75">
      <c r="A77" s="881"/>
      <c r="B77" s="196"/>
      <c r="C77" s="196"/>
      <c r="D77" s="199">
        <v>6050</v>
      </c>
      <c r="E77" s="498" t="s">
        <v>309</v>
      </c>
      <c r="F77" s="497">
        <f>SUM(G77+L77)</f>
        <v>19695.28</v>
      </c>
      <c r="G77" s="497">
        <f>SUM(H77)</f>
        <v>0</v>
      </c>
      <c r="H77" s="497">
        <f>SUM(I77:J77)</f>
        <v>0</v>
      </c>
      <c r="I77" s="497"/>
      <c r="J77" s="497"/>
      <c r="K77" s="497"/>
      <c r="L77" s="497">
        <v>19695.28</v>
      </c>
      <c r="M77" s="497">
        <v>19695.28</v>
      </c>
    </row>
    <row r="78" spans="1:13" ht="12.75">
      <c r="A78" s="880" t="s">
        <v>349</v>
      </c>
      <c r="B78" s="180">
        <v>801</v>
      </c>
      <c r="C78" s="194">
        <v>80110</v>
      </c>
      <c r="D78" s="194"/>
      <c r="E78" s="27" t="s">
        <v>116</v>
      </c>
      <c r="F78" s="195">
        <f t="shared" si="0"/>
        <v>6672.36</v>
      </c>
      <c r="G78" s="195">
        <f t="shared" si="1"/>
        <v>6672.36</v>
      </c>
      <c r="H78" s="195">
        <f t="shared" si="2"/>
        <v>6672.36</v>
      </c>
      <c r="I78" s="195"/>
      <c r="J78" s="195">
        <f>SUM(J79)</f>
        <v>6672.36</v>
      </c>
      <c r="K78" s="195"/>
      <c r="L78" s="195"/>
      <c r="M78" s="195"/>
    </row>
    <row r="79" spans="1:13" ht="12.75">
      <c r="A79" s="882"/>
      <c r="B79" s="204"/>
      <c r="C79" s="204"/>
      <c r="D79" s="499">
        <v>4300</v>
      </c>
      <c r="E79" s="499" t="s">
        <v>310</v>
      </c>
      <c r="F79" s="497">
        <f>SUM(G79+L79)</f>
        <v>6672.36</v>
      </c>
      <c r="G79" s="497">
        <f>SUM(H79)</f>
        <v>6672.36</v>
      </c>
      <c r="H79" s="497">
        <f>SUM(I79:J79)</f>
        <v>6672.36</v>
      </c>
      <c r="I79" s="497"/>
      <c r="J79" s="497">
        <v>6672.36</v>
      </c>
      <c r="K79" s="497"/>
      <c r="L79" s="497"/>
      <c r="M79" s="497"/>
    </row>
    <row r="80" spans="1:13" ht="12.75">
      <c r="A80" s="882"/>
      <c r="B80" s="180">
        <v>921</v>
      </c>
      <c r="C80" s="194">
        <v>92109</v>
      </c>
      <c r="D80" s="194"/>
      <c r="E80" s="27" t="s">
        <v>150</v>
      </c>
      <c r="F80" s="195">
        <f>SUM(G80+L80)</f>
        <v>5100</v>
      </c>
      <c r="G80" s="195">
        <f>SUM(H80)</f>
        <v>5100</v>
      </c>
      <c r="H80" s="195">
        <f>SUM(I80:J80)</f>
        <v>5100</v>
      </c>
      <c r="I80" s="497"/>
      <c r="J80" s="201">
        <f>SUM(J81)</f>
        <v>5100</v>
      </c>
      <c r="K80" s="497"/>
      <c r="L80" s="497"/>
      <c r="M80" s="497"/>
    </row>
    <row r="81" spans="1:13" ht="12.75">
      <c r="A81" s="881"/>
      <c r="B81" s="204"/>
      <c r="C81" s="204"/>
      <c r="D81" s="199">
        <v>4210</v>
      </c>
      <c r="E81" s="199" t="s">
        <v>308</v>
      </c>
      <c r="F81" s="497">
        <f>SUM(G81+L81)</f>
        <v>5100</v>
      </c>
      <c r="G81" s="497">
        <f>SUM(H81)</f>
        <v>5100</v>
      </c>
      <c r="H81" s="497">
        <f>SUM(I81:J81)</f>
        <v>5100</v>
      </c>
      <c r="I81" s="497"/>
      <c r="J81" s="497">
        <v>5100</v>
      </c>
      <c r="K81" s="497"/>
      <c r="L81" s="497"/>
      <c r="M81" s="497"/>
    </row>
    <row r="82" spans="1:13" ht="12.75">
      <c r="A82" s="880" t="s">
        <v>350</v>
      </c>
      <c r="B82" s="180">
        <v>801</v>
      </c>
      <c r="C82" s="194">
        <v>80101</v>
      </c>
      <c r="D82" s="194"/>
      <c r="E82" s="194" t="s">
        <v>236</v>
      </c>
      <c r="F82" s="195">
        <f t="shared" si="0"/>
        <v>6884.18</v>
      </c>
      <c r="G82" s="195">
        <f t="shared" si="1"/>
        <v>6884.18</v>
      </c>
      <c r="H82" s="195">
        <f t="shared" si="2"/>
        <v>6884.18</v>
      </c>
      <c r="I82" s="195"/>
      <c r="J82" s="195">
        <f>SUM(J83:J84)</f>
        <v>6884.18</v>
      </c>
      <c r="K82" s="195"/>
      <c r="L82" s="195">
        <f>SUM(L83:L84)</f>
        <v>0</v>
      </c>
      <c r="M82" s="195">
        <f>SUM(M83:M84)</f>
        <v>0</v>
      </c>
    </row>
    <row r="83" spans="1:13" ht="12.75">
      <c r="A83" s="882"/>
      <c r="B83" s="196"/>
      <c r="C83" s="196"/>
      <c r="D83" s="499">
        <v>4210</v>
      </c>
      <c r="E83" s="499" t="s">
        <v>308</v>
      </c>
      <c r="F83" s="497">
        <f>SUM(G83+L83)</f>
        <v>2000</v>
      </c>
      <c r="G83" s="497">
        <f>SUM(H83)</f>
        <v>2000</v>
      </c>
      <c r="H83" s="497">
        <f>SUM(I83:J83)</f>
        <v>2000</v>
      </c>
      <c r="I83" s="202"/>
      <c r="J83" s="202">
        <v>2000</v>
      </c>
      <c r="K83" s="202"/>
      <c r="L83" s="202"/>
      <c r="M83" s="202"/>
    </row>
    <row r="84" spans="1:13" ht="12.75">
      <c r="A84" s="881"/>
      <c r="B84" s="343"/>
      <c r="C84" s="343"/>
      <c r="D84" s="499">
        <v>4300</v>
      </c>
      <c r="E84" s="499" t="s">
        <v>310</v>
      </c>
      <c r="F84" s="497">
        <f>SUM(G84+L84)</f>
        <v>4884.18</v>
      </c>
      <c r="G84" s="497">
        <f>SUM(H84)</f>
        <v>4884.18</v>
      </c>
      <c r="H84" s="497">
        <f>SUM(I84:J84)</f>
        <v>4884.18</v>
      </c>
      <c r="I84" s="500"/>
      <c r="J84" s="501">
        <v>4884.18</v>
      </c>
      <c r="K84" s="501"/>
      <c r="L84" s="500"/>
      <c r="M84" s="500"/>
    </row>
    <row r="85" spans="1:13" ht="13.5" thickBot="1">
      <c r="A85" s="205"/>
      <c r="B85" s="206"/>
      <c r="C85" s="206"/>
      <c r="D85" s="206"/>
      <c r="E85" s="207" t="s">
        <v>61</v>
      </c>
      <c r="F85" s="208">
        <f t="shared" si="0"/>
        <v>353386.70999999996</v>
      </c>
      <c r="G85" s="208">
        <f>SUM(H85+K85)</f>
        <v>259196.24999999997</v>
      </c>
      <c r="H85" s="208">
        <f t="shared" si="2"/>
        <v>259196.24999999997</v>
      </c>
      <c r="I85" s="208">
        <f>SUM(I8:I83)</f>
        <v>0</v>
      </c>
      <c r="J85" s="208">
        <f>SUM(J8+J10+J12+J15+J17+J19+J22+J24+J26+J29+J31+J35+J41+J45+J47+J50+J52+J54+J56+J60+J62+J64+J70+J72+J74+J78+J80+J82)</f>
        <v>259196.24999999997</v>
      </c>
      <c r="K85" s="208"/>
      <c r="L85" s="208">
        <f>SUM(L26+L33+L37+L39+L43+L47+L58+L66+L68+L76)</f>
        <v>94190.46</v>
      </c>
      <c r="M85" s="208">
        <f>SUM(M26+M33+M37+M39+M43+M47+M58+M66+M68+M76)</f>
        <v>94190.46</v>
      </c>
    </row>
    <row r="86" spans="1:13" ht="13.5" thickTop="1">
      <c r="A86" s="259"/>
      <c r="B86" s="344"/>
      <c r="C86" s="344"/>
      <c r="D86" s="344"/>
      <c r="E86" s="345"/>
      <c r="F86" s="346"/>
      <c r="G86" s="346"/>
      <c r="H86" s="346"/>
      <c r="I86" s="346"/>
      <c r="J86" s="346"/>
      <c r="K86" s="346"/>
      <c r="L86" s="346"/>
      <c r="M86" s="346"/>
    </row>
    <row r="87" spans="1:13" ht="54" customHeight="1">
      <c r="A87" s="259"/>
      <c r="B87" s="884" t="s">
        <v>554</v>
      </c>
      <c r="C87" s="884"/>
      <c r="D87" s="884"/>
      <c r="E87" s="884"/>
      <c r="F87" s="494" t="s">
        <v>60</v>
      </c>
      <c r="G87" s="494" t="s">
        <v>60</v>
      </c>
      <c r="H87" s="494"/>
      <c r="I87" s="494"/>
      <c r="J87" s="494"/>
      <c r="K87" s="494"/>
      <c r="L87" s="494"/>
      <c r="M87" s="494"/>
    </row>
    <row r="88" spans="1:13" ht="12.75">
      <c r="A88" s="259"/>
      <c r="B88" s="885" t="s">
        <v>351</v>
      </c>
      <c r="C88" s="885"/>
      <c r="D88" s="885"/>
      <c r="E88" s="885"/>
      <c r="F88" s="496"/>
      <c r="G88" s="496"/>
      <c r="H88" s="496"/>
      <c r="I88" s="496"/>
      <c r="J88" s="496"/>
      <c r="K88" s="496"/>
      <c r="L88" s="496"/>
      <c r="M88" s="496"/>
    </row>
    <row r="89" spans="1:13" ht="12.75">
      <c r="A89" s="259"/>
      <c r="B89" s="886" t="s">
        <v>197</v>
      </c>
      <c r="C89" s="876" t="s">
        <v>58</v>
      </c>
      <c r="D89" s="875" t="s">
        <v>306</v>
      </c>
      <c r="E89" s="887" t="s">
        <v>57</v>
      </c>
      <c r="F89" s="888" t="s">
        <v>322</v>
      </c>
      <c r="G89" s="889" t="s">
        <v>93</v>
      </c>
      <c r="H89" s="889"/>
      <c r="I89" s="889"/>
      <c r="J89" s="889"/>
      <c r="K89" s="889"/>
      <c r="L89" s="889"/>
      <c r="M89" s="495"/>
    </row>
    <row r="90" spans="1:13" ht="12.75">
      <c r="A90" s="259"/>
      <c r="B90" s="824"/>
      <c r="C90" s="826"/>
      <c r="D90" s="875"/>
      <c r="E90" s="816"/>
      <c r="F90" s="816"/>
      <c r="G90" s="815" t="s">
        <v>151</v>
      </c>
      <c r="H90" s="818" t="s">
        <v>93</v>
      </c>
      <c r="I90" s="818"/>
      <c r="J90" s="818"/>
      <c r="K90" s="191"/>
      <c r="L90" s="815" t="s">
        <v>152</v>
      </c>
      <c r="M90" s="24" t="s">
        <v>93</v>
      </c>
    </row>
    <row r="91" spans="1:13" ht="12.75">
      <c r="A91" s="259"/>
      <c r="B91" s="824"/>
      <c r="C91" s="826"/>
      <c r="D91" s="875"/>
      <c r="E91" s="816"/>
      <c r="F91" s="816"/>
      <c r="G91" s="815"/>
      <c r="H91" s="820" t="s">
        <v>153</v>
      </c>
      <c r="I91" s="818" t="s">
        <v>93</v>
      </c>
      <c r="J91" s="818"/>
      <c r="K91" s="855" t="s">
        <v>154</v>
      </c>
      <c r="L91" s="815"/>
      <c r="M91" s="878" t="s">
        <v>157</v>
      </c>
    </row>
    <row r="92" spans="1:13" ht="57" thickBot="1">
      <c r="A92" s="259"/>
      <c r="B92" s="824"/>
      <c r="C92" s="826"/>
      <c r="D92" s="876"/>
      <c r="E92" s="816"/>
      <c r="F92" s="816"/>
      <c r="G92" s="815"/>
      <c r="H92" s="877"/>
      <c r="I92" s="249" t="s">
        <v>158</v>
      </c>
      <c r="J92" s="249" t="s">
        <v>159</v>
      </c>
      <c r="K92" s="855"/>
      <c r="L92" s="815"/>
      <c r="M92" s="879"/>
    </row>
    <row r="93" spans="1:13" ht="14.25" thickBot="1" thickTop="1">
      <c r="A93" s="193"/>
      <c r="B93" s="209">
        <v>600</v>
      </c>
      <c r="C93" s="209"/>
      <c r="D93" s="209"/>
      <c r="E93" s="209" t="s">
        <v>96</v>
      </c>
      <c r="F93" s="210">
        <f t="shared" si="0"/>
        <v>120763.1</v>
      </c>
      <c r="G93" s="210">
        <f t="shared" si="1"/>
        <v>120763.1</v>
      </c>
      <c r="H93" s="210">
        <f t="shared" si="2"/>
        <v>120763.1</v>
      </c>
      <c r="I93" s="209"/>
      <c r="J93" s="210">
        <f>SUM(J94)</f>
        <v>120763.1</v>
      </c>
      <c r="K93" s="210"/>
      <c r="L93" s="209"/>
      <c r="M93" s="209"/>
    </row>
    <row r="94" spans="1:13" ht="12.75">
      <c r="A94" s="193"/>
      <c r="B94" s="211"/>
      <c r="C94" s="483">
        <v>60016</v>
      </c>
      <c r="D94" s="483"/>
      <c r="E94" s="484" t="s">
        <v>119</v>
      </c>
      <c r="F94" s="485">
        <f t="shared" si="0"/>
        <v>120763.1</v>
      </c>
      <c r="G94" s="485">
        <f t="shared" si="1"/>
        <v>120763.1</v>
      </c>
      <c r="H94" s="485">
        <f t="shared" si="2"/>
        <v>120763.1</v>
      </c>
      <c r="I94" s="422"/>
      <c r="J94" s="485">
        <f>SUM(J95:J97)</f>
        <v>120763.1</v>
      </c>
      <c r="K94" s="485"/>
      <c r="L94" s="422"/>
      <c r="M94" s="422"/>
    </row>
    <row r="95" spans="1:13" ht="12.75">
      <c r="A95" s="193"/>
      <c r="B95" s="211"/>
      <c r="C95" s="212"/>
      <c r="D95" s="200">
        <v>4210</v>
      </c>
      <c r="E95" s="200" t="s">
        <v>308</v>
      </c>
      <c r="F95" s="201">
        <f>SUM(G95+L95)</f>
        <v>10387.37</v>
      </c>
      <c r="G95" s="201">
        <f t="shared" si="1"/>
        <v>10387.37</v>
      </c>
      <c r="H95" s="201">
        <f>SUM(I95:J95)</f>
        <v>10387.37</v>
      </c>
      <c r="I95" s="211"/>
      <c r="J95" s="214">
        <f>SUM(J42)</f>
        <v>10387.37</v>
      </c>
      <c r="K95" s="214"/>
      <c r="L95" s="211"/>
      <c r="M95" s="211"/>
    </row>
    <row r="96" spans="1:13" ht="12.75">
      <c r="A96" s="193"/>
      <c r="B96" s="194"/>
      <c r="C96" s="197"/>
      <c r="D96" s="200">
        <v>4270</v>
      </c>
      <c r="E96" s="200" t="s">
        <v>299</v>
      </c>
      <c r="F96" s="201">
        <f t="shared" si="0"/>
        <v>93370.55</v>
      </c>
      <c r="G96" s="201">
        <f t="shared" si="1"/>
        <v>93370.55</v>
      </c>
      <c r="H96" s="201">
        <f t="shared" si="2"/>
        <v>93370.55</v>
      </c>
      <c r="I96" s="200"/>
      <c r="J96" s="201">
        <f>SUM(J11+J13+J16+J36+J53+J73)</f>
        <v>93370.55</v>
      </c>
      <c r="K96" s="201"/>
      <c r="L96" s="200"/>
      <c r="M96" s="200"/>
    </row>
    <row r="97" spans="1:13" ht="13.5" thickBot="1">
      <c r="A97" s="193"/>
      <c r="B97" s="237"/>
      <c r="C97" s="225"/>
      <c r="D97" s="253">
        <v>4300</v>
      </c>
      <c r="E97" s="253" t="s">
        <v>310</v>
      </c>
      <c r="F97" s="254">
        <f>SUM(G97+L97)</f>
        <v>17005.18</v>
      </c>
      <c r="G97" s="254">
        <f t="shared" si="1"/>
        <v>17005.18</v>
      </c>
      <c r="H97" s="254">
        <f>SUM(I97:J97)</f>
        <v>17005.18</v>
      </c>
      <c r="I97" s="222"/>
      <c r="J97" s="223">
        <f>SUM(J14+J30+J57)</f>
        <v>17005.18</v>
      </c>
      <c r="K97" s="223"/>
      <c r="L97" s="222"/>
      <c r="M97" s="347"/>
    </row>
    <row r="98" spans="1:13" ht="13.5" thickBot="1">
      <c r="A98" s="193"/>
      <c r="B98" s="216">
        <v>700</v>
      </c>
      <c r="C98" s="217"/>
      <c r="D98" s="226"/>
      <c r="E98" s="30" t="s">
        <v>91</v>
      </c>
      <c r="F98" s="220">
        <f>SUM(G98+L98)</f>
        <v>25198.47</v>
      </c>
      <c r="G98" s="220">
        <f t="shared" si="1"/>
        <v>0</v>
      </c>
      <c r="H98" s="220">
        <f>SUM(I98:J98)</f>
        <v>0</v>
      </c>
      <c r="I98" s="349"/>
      <c r="J98" s="350"/>
      <c r="K98" s="350"/>
      <c r="L98" s="234">
        <f>SUM(L99)</f>
        <v>25198.47</v>
      </c>
      <c r="M98" s="235">
        <f>SUM(M99)</f>
        <v>25198.47</v>
      </c>
    </row>
    <row r="99" spans="1:13" ht="12.75">
      <c r="A99" s="193"/>
      <c r="B99" s="213"/>
      <c r="C99" s="484">
        <v>70005</v>
      </c>
      <c r="D99" s="484"/>
      <c r="E99" s="484" t="s">
        <v>121</v>
      </c>
      <c r="F99" s="486">
        <f>SUM(G99+L99)</f>
        <v>25198.47</v>
      </c>
      <c r="G99" s="486">
        <f t="shared" si="1"/>
        <v>0</v>
      </c>
      <c r="H99" s="486">
        <f>SUM(I99:J99)</f>
        <v>0</v>
      </c>
      <c r="I99" s="484"/>
      <c r="J99" s="486"/>
      <c r="K99" s="486"/>
      <c r="L99" s="487">
        <f>SUM(L100)</f>
        <v>25198.47</v>
      </c>
      <c r="M99" s="486">
        <f>SUM(M100)</f>
        <v>25198.47</v>
      </c>
    </row>
    <row r="100" spans="1:13" ht="13.5" thickBot="1">
      <c r="A100" s="193"/>
      <c r="B100" s="351"/>
      <c r="C100" s="225"/>
      <c r="D100" s="222">
        <v>6060</v>
      </c>
      <c r="E100" s="222" t="s">
        <v>311</v>
      </c>
      <c r="F100" s="252">
        <f>SUM(G100+L100)</f>
        <v>25198.47</v>
      </c>
      <c r="G100" s="252">
        <f t="shared" si="1"/>
        <v>0</v>
      </c>
      <c r="H100" s="252">
        <f>SUM(I100:J100)</f>
        <v>0</v>
      </c>
      <c r="I100" s="222"/>
      <c r="J100" s="223"/>
      <c r="K100" s="223"/>
      <c r="L100" s="352">
        <f>SUM(L40+L67+L69)</f>
        <v>25198.47</v>
      </c>
      <c r="M100" s="352">
        <f>SUM(M40+M67+M69)</f>
        <v>25198.47</v>
      </c>
    </row>
    <row r="101" spans="1:13" ht="23.25" thickBot="1">
      <c r="A101" s="193"/>
      <c r="B101" s="216">
        <v>754</v>
      </c>
      <c r="C101" s="217"/>
      <c r="D101" s="218"/>
      <c r="E101" s="219" t="s">
        <v>312</v>
      </c>
      <c r="F101" s="220">
        <f t="shared" si="0"/>
        <v>26640.56</v>
      </c>
      <c r="G101" s="220">
        <f t="shared" si="1"/>
        <v>0</v>
      </c>
      <c r="H101" s="220">
        <f t="shared" si="2"/>
        <v>0</v>
      </c>
      <c r="I101" s="218"/>
      <c r="J101" s="221"/>
      <c r="K101" s="221"/>
      <c r="L101" s="220">
        <f>SUM(L102)</f>
        <v>26640.56</v>
      </c>
      <c r="M101" s="235">
        <f>SUM(M102)</f>
        <v>26640.56</v>
      </c>
    </row>
    <row r="102" spans="1:13" ht="12.75">
      <c r="A102" s="193"/>
      <c r="B102" s="211"/>
      <c r="C102" s="488">
        <v>75412</v>
      </c>
      <c r="D102" s="489"/>
      <c r="E102" s="490" t="s">
        <v>167</v>
      </c>
      <c r="F102" s="491">
        <f t="shared" si="0"/>
        <v>26640.56</v>
      </c>
      <c r="G102" s="491">
        <f t="shared" si="1"/>
        <v>0</v>
      </c>
      <c r="H102" s="491">
        <f t="shared" si="2"/>
        <v>0</v>
      </c>
      <c r="I102" s="345"/>
      <c r="J102" s="346"/>
      <c r="K102" s="346"/>
      <c r="L102" s="346">
        <f>SUM(L103)</f>
        <v>26640.56</v>
      </c>
      <c r="M102" s="346">
        <f>SUM(M103)</f>
        <v>26640.56</v>
      </c>
    </row>
    <row r="103" spans="1:13" ht="13.5" thickBot="1">
      <c r="A103" s="193"/>
      <c r="B103" s="224"/>
      <c r="C103" s="225"/>
      <c r="D103" s="224">
        <v>6050</v>
      </c>
      <c r="E103" s="255" t="s">
        <v>309</v>
      </c>
      <c r="F103" s="223">
        <f t="shared" si="0"/>
        <v>26640.56</v>
      </c>
      <c r="G103" s="223">
        <f t="shared" si="1"/>
        <v>0</v>
      </c>
      <c r="H103" s="223">
        <f t="shared" si="2"/>
        <v>0</v>
      </c>
      <c r="I103" s="253"/>
      <c r="J103" s="254"/>
      <c r="K103" s="254"/>
      <c r="L103" s="254">
        <f>SUM(L34+L38)</f>
        <v>26640.56</v>
      </c>
      <c r="M103" s="254">
        <f>SUM(M34+M38)</f>
        <v>26640.56</v>
      </c>
    </row>
    <row r="104" spans="1:13" ht="13.5" thickBot="1">
      <c r="A104" s="193"/>
      <c r="B104" s="216">
        <v>801</v>
      </c>
      <c r="C104" s="226"/>
      <c r="D104" s="226"/>
      <c r="E104" s="226" t="s">
        <v>149</v>
      </c>
      <c r="F104" s="220">
        <f t="shared" si="0"/>
        <v>39566.100000000006</v>
      </c>
      <c r="G104" s="220">
        <f t="shared" si="1"/>
        <v>39566.100000000006</v>
      </c>
      <c r="H104" s="220">
        <f t="shared" si="2"/>
        <v>39566.100000000006</v>
      </c>
      <c r="I104" s="226"/>
      <c r="J104" s="220">
        <f>SUM(J105+J108)</f>
        <v>39566.100000000006</v>
      </c>
      <c r="K104" s="220"/>
      <c r="L104" s="226"/>
      <c r="M104" s="227"/>
    </row>
    <row r="105" spans="1:13" ht="12.75">
      <c r="A105" s="193"/>
      <c r="B105" s="211"/>
      <c r="C105" s="422">
        <v>80101</v>
      </c>
      <c r="D105" s="422"/>
      <c r="E105" s="422" t="s">
        <v>236</v>
      </c>
      <c r="F105" s="485">
        <f t="shared" si="0"/>
        <v>32893.740000000005</v>
      </c>
      <c r="G105" s="485">
        <f t="shared" si="1"/>
        <v>32893.740000000005</v>
      </c>
      <c r="H105" s="485">
        <f t="shared" si="2"/>
        <v>32893.740000000005</v>
      </c>
      <c r="I105" s="422"/>
      <c r="J105" s="485">
        <f>SUM(J106:J107)</f>
        <v>32893.740000000005</v>
      </c>
      <c r="K105" s="485"/>
      <c r="L105" s="422"/>
      <c r="M105" s="422"/>
    </row>
    <row r="106" spans="1:13" ht="12.75">
      <c r="A106" s="193"/>
      <c r="B106" s="194"/>
      <c r="C106" s="194"/>
      <c r="D106" s="200">
        <v>4210</v>
      </c>
      <c r="E106" s="200" t="s">
        <v>308</v>
      </c>
      <c r="F106" s="252">
        <f t="shared" si="0"/>
        <v>11573.07</v>
      </c>
      <c r="G106" s="252">
        <f t="shared" si="1"/>
        <v>11573.07</v>
      </c>
      <c r="H106" s="252">
        <f t="shared" si="2"/>
        <v>11573.07</v>
      </c>
      <c r="I106" s="200"/>
      <c r="J106" s="201">
        <f>SUM(J9+J23+J83)</f>
        <v>11573.07</v>
      </c>
      <c r="K106" s="201"/>
      <c r="L106" s="200"/>
      <c r="M106" s="200"/>
    </row>
    <row r="107" spans="1:13" ht="12.75">
      <c r="A107" s="193"/>
      <c r="B107" s="194"/>
      <c r="C107" s="194"/>
      <c r="D107" s="200">
        <v>4300</v>
      </c>
      <c r="E107" s="200" t="s">
        <v>310</v>
      </c>
      <c r="F107" s="201">
        <f t="shared" si="0"/>
        <v>21320.670000000002</v>
      </c>
      <c r="G107" s="201">
        <f t="shared" si="1"/>
        <v>21320.670000000002</v>
      </c>
      <c r="H107" s="201">
        <f t="shared" si="2"/>
        <v>21320.670000000002</v>
      </c>
      <c r="I107" s="200"/>
      <c r="J107" s="201">
        <f>SUM(J18+J84)</f>
        <v>21320.670000000002</v>
      </c>
      <c r="K107" s="201"/>
      <c r="L107" s="200"/>
      <c r="M107" s="200"/>
    </row>
    <row r="108" spans="1:13" ht="12.75">
      <c r="A108" s="193"/>
      <c r="B108" s="194"/>
      <c r="C108" s="382">
        <v>80110</v>
      </c>
      <c r="D108" s="382"/>
      <c r="E108" s="382" t="s">
        <v>116</v>
      </c>
      <c r="F108" s="492">
        <f t="shared" si="0"/>
        <v>6672.36</v>
      </c>
      <c r="G108" s="492">
        <f>SUM(H108+K108)</f>
        <v>6672.36</v>
      </c>
      <c r="H108" s="492">
        <f t="shared" si="2"/>
        <v>6672.36</v>
      </c>
      <c r="I108" s="382"/>
      <c r="J108" s="492">
        <f>SUM(J109:J109)</f>
        <v>6672.36</v>
      </c>
      <c r="K108" s="492"/>
      <c r="L108" s="382"/>
      <c r="M108" s="382"/>
    </row>
    <row r="109" spans="1:13" ht="13.5" thickBot="1">
      <c r="A109" s="193"/>
      <c r="B109" s="237"/>
      <c r="C109" s="222"/>
      <c r="D109" s="222">
        <v>4300</v>
      </c>
      <c r="E109" s="222" t="s">
        <v>310</v>
      </c>
      <c r="F109" s="201">
        <f t="shared" si="0"/>
        <v>6672.36</v>
      </c>
      <c r="G109" s="201">
        <f>SUM(H109+K109)</f>
        <v>6672.36</v>
      </c>
      <c r="H109" s="201">
        <f t="shared" si="2"/>
        <v>6672.36</v>
      </c>
      <c r="I109" s="222"/>
      <c r="J109" s="223">
        <f>SUM(J79)</f>
        <v>6672.36</v>
      </c>
      <c r="K109" s="223"/>
      <c r="L109" s="222"/>
      <c r="M109" s="222"/>
    </row>
    <row r="110" spans="1:13" ht="23.25" thickBot="1">
      <c r="A110" s="193"/>
      <c r="B110" s="228">
        <v>900</v>
      </c>
      <c r="C110" s="229"/>
      <c r="D110" s="230"/>
      <c r="E110" s="109" t="s">
        <v>92</v>
      </c>
      <c r="F110" s="231">
        <f t="shared" si="0"/>
        <v>15200</v>
      </c>
      <c r="G110" s="231">
        <f t="shared" si="1"/>
        <v>7200</v>
      </c>
      <c r="H110" s="231">
        <f t="shared" si="2"/>
        <v>7200</v>
      </c>
      <c r="I110" s="229"/>
      <c r="J110" s="231">
        <f>SUM(J111:J111)</f>
        <v>7200</v>
      </c>
      <c r="K110" s="231"/>
      <c r="L110" s="231">
        <f>SUM(L111)</f>
        <v>8000</v>
      </c>
      <c r="M110" s="231">
        <f>SUM(M111)</f>
        <v>8000</v>
      </c>
    </row>
    <row r="111" spans="1:13" ht="12.75">
      <c r="A111" s="193"/>
      <c r="B111" s="194"/>
      <c r="C111" s="382">
        <v>90095</v>
      </c>
      <c r="D111" s="382"/>
      <c r="E111" s="382" t="s">
        <v>161</v>
      </c>
      <c r="F111" s="492">
        <f t="shared" si="0"/>
        <v>15200</v>
      </c>
      <c r="G111" s="492">
        <f t="shared" si="1"/>
        <v>7200</v>
      </c>
      <c r="H111" s="492">
        <f t="shared" si="2"/>
        <v>7200</v>
      </c>
      <c r="I111" s="382"/>
      <c r="J111" s="492">
        <f>SUM(J112:J113)</f>
        <v>7200</v>
      </c>
      <c r="K111" s="492"/>
      <c r="L111" s="492">
        <f>SUM(L112:L114)</f>
        <v>8000</v>
      </c>
      <c r="M111" s="492">
        <f>SUM(M112:M114)</f>
        <v>8000</v>
      </c>
    </row>
    <row r="112" spans="1:13" ht="12.75">
      <c r="A112" s="193"/>
      <c r="B112" s="215"/>
      <c r="C112" s="215"/>
      <c r="D112" s="200">
        <v>4210</v>
      </c>
      <c r="E112" s="200" t="s">
        <v>308</v>
      </c>
      <c r="F112" s="252">
        <f t="shared" si="0"/>
        <v>4200</v>
      </c>
      <c r="G112" s="252">
        <f t="shared" si="1"/>
        <v>4200</v>
      </c>
      <c r="H112" s="252">
        <f t="shared" si="2"/>
        <v>4200</v>
      </c>
      <c r="I112" s="253" t="s">
        <v>60</v>
      </c>
      <c r="J112" s="254">
        <f>SUM(J48)</f>
        <v>4200</v>
      </c>
      <c r="K112" s="254"/>
      <c r="L112" s="253"/>
      <c r="M112" s="253"/>
    </row>
    <row r="113" spans="1:13" ht="12.75">
      <c r="A113" s="193"/>
      <c r="B113" s="194"/>
      <c r="C113" s="194"/>
      <c r="D113" s="200">
        <v>4300</v>
      </c>
      <c r="E113" s="200" t="s">
        <v>310</v>
      </c>
      <c r="F113" s="201">
        <f t="shared" si="0"/>
        <v>3000</v>
      </c>
      <c r="G113" s="201">
        <f t="shared" si="1"/>
        <v>3000</v>
      </c>
      <c r="H113" s="201">
        <f t="shared" si="2"/>
        <v>3000</v>
      </c>
      <c r="I113" s="200"/>
      <c r="J113" s="201">
        <f>SUM(J49)</f>
        <v>3000</v>
      </c>
      <c r="K113" s="201"/>
      <c r="L113" s="200"/>
      <c r="M113" s="200"/>
    </row>
    <row r="114" spans="1:13" ht="13.5" thickBot="1">
      <c r="A114" s="193"/>
      <c r="B114" s="237"/>
      <c r="C114" s="224"/>
      <c r="D114" s="253">
        <v>6060</v>
      </c>
      <c r="E114" s="253" t="s">
        <v>311</v>
      </c>
      <c r="F114" s="201">
        <f>SUM(G114+L114)</f>
        <v>8000</v>
      </c>
      <c r="G114" s="201">
        <f>SUM(H114)</f>
        <v>0</v>
      </c>
      <c r="H114" s="201">
        <f>SUM(I114:J114)</f>
        <v>0</v>
      </c>
      <c r="I114" s="222"/>
      <c r="J114" s="223"/>
      <c r="K114" s="223"/>
      <c r="L114" s="348">
        <f>SUM(L59)</f>
        <v>8000</v>
      </c>
      <c r="M114" s="348">
        <f>SUM(M59)</f>
        <v>8000</v>
      </c>
    </row>
    <row r="115" spans="1:13" ht="23.25" thickBot="1">
      <c r="A115" s="193"/>
      <c r="B115" s="228">
        <v>921</v>
      </c>
      <c r="C115" s="229"/>
      <c r="D115" s="230"/>
      <c r="E115" s="109" t="s">
        <v>123</v>
      </c>
      <c r="F115" s="231">
        <f t="shared" si="0"/>
        <v>89005.32</v>
      </c>
      <c r="G115" s="231">
        <f t="shared" si="1"/>
        <v>54653.89</v>
      </c>
      <c r="H115" s="231">
        <f t="shared" si="2"/>
        <v>54653.89</v>
      </c>
      <c r="I115" s="229"/>
      <c r="J115" s="231">
        <f>SUM(J116)</f>
        <v>54653.89</v>
      </c>
      <c r="K115" s="231"/>
      <c r="L115" s="231">
        <f>SUM(L116)</f>
        <v>34351.43</v>
      </c>
      <c r="M115" s="232">
        <f>SUM(M116)</f>
        <v>34351.43</v>
      </c>
    </row>
    <row r="116" spans="1:13" ht="12.75">
      <c r="A116" s="193"/>
      <c r="B116" s="211"/>
      <c r="C116" s="493">
        <v>92109</v>
      </c>
      <c r="D116" s="493"/>
      <c r="E116" s="490" t="s">
        <v>150</v>
      </c>
      <c r="F116" s="491">
        <f t="shared" si="0"/>
        <v>89005.32</v>
      </c>
      <c r="G116" s="491">
        <f t="shared" si="1"/>
        <v>54653.89</v>
      </c>
      <c r="H116" s="491">
        <f t="shared" si="2"/>
        <v>54653.89</v>
      </c>
      <c r="I116" s="493"/>
      <c r="J116" s="491">
        <f>SUM(J117+J118)</f>
        <v>54653.89</v>
      </c>
      <c r="K116" s="491"/>
      <c r="L116" s="491">
        <f>SUM(L117:L120)</f>
        <v>34351.43</v>
      </c>
      <c r="M116" s="491">
        <f>SUM(M117:M120)</f>
        <v>34351.43</v>
      </c>
    </row>
    <row r="117" spans="1:13" ht="12.75">
      <c r="A117" s="193"/>
      <c r="B117" s="194"/>
      <c r="C117" s="194"/>
      <c r="D117" s="200">
        <v>4210</v>
      </c>
      <c r="E117" s="200" t="s">
        <v>308</v>
      </c>
      <c r="F117" s="252">
        <f t="shared" si="0"/>
        <v>41089.2</v>
      </c>
      <c r="G117" s="252">
        <f>SUM(H117)</f>
        <v>41089.2</v>
      </c>
      <c r="H117" s="201">
        <f t="shared" si="2"/>
        <v>41089.2</v>
      </c>
      <c r="I117" s="194"/>
      <c r="J117" s="201">
        <f>SUM(J27+J46+J55+J61+J63+J71+J75+J81)</f>
        <v>41089.2</v>
      </c>
      <c r="K117" s="201"/>
      <c r="L117" s="201"/>
      <c r="M117" s="201"/>
    </row>
    <row r="118" spans="1:13" ht="12.75">
      <c r="A118" s="193"/>
      <c r="B118" s="194"/>
      <c r="C118" s="194"/>
      <c r="D118" s="200">
        <v>4270</v>
      </c>
      <c r="E118" s="200" t="s">
        <v>299</v>
      </c>
      <c r="F118" s="252">
        <f t="shared" si="0"/>
        <v>13564.69</v>
      </c>
      <c r="G118" s="252">
        <f>SUM(H118)</f>
        <v>13564.69</v>
      </c>
      <c r="H118" s="252">
        <f t="shared" si="2"/>
        <v>13564.69</v>
      </c>
      <c r="I118" s="211"/>
      <c r="J118" s="252">
        <f>SUM(J51)</f>
        <v>13564.69</v>
      </c>
      <c r="K118" s="252"/>
      <c r="L118" s="252"/>
      <c r="M118" s="201"/>
    </row>
    <row r="119" spans="1:13" ht="12.75">
      <c r="A119" s="193"/>
      <c r="B119" s="194"/>
      <c r="C119" s="194"/>
      <c r="D119" s="194">
        <v>6050</v>
      </c>
      <c r="E119" s="27" t="s">
        <v>309</v>
      </c>
      <c r="F119" s="201">
        <f t="shared" si="0"/>
        <v>28351.43</v>
      </c>
      <c r="G119" s="201">
        <f>SUM(H119)</f>
        <v>0</v>
      </c>
      <c r="H119" s="201">
        <f t="shared" si="2"/>
        <v>0</v>
      </c>
      <c r="I119" s="194"/>
      <c r="J119" s="201"/>
      <c r="K119" s="201"/>
      <c r="L119" s="201">
        <f>SUM(L44+L77)</f>
        <v>28351.43</v>
      </c>
      <c r="M119" s="201">
        <f>SUM(M44+M77)</f>
        <v>28351.43</v>
      </c>
    </row>
    <row r="120" spans="1:13" ht="13.5" thickBot="1">
      <c r="A120" s="193"/>
      <c r="B120" s="237"/>
      <c r="C120" s="224"/>
      <c r="D120" s="222">
        <v>6060</v>
      </c>
      <c r="E120" s="222" t="s">
        <v>311</v>
      </c>
      <c r="F120" s="223">
        <f>SUM(G120+L120)</f>
        <v>6000</v>
      </c>
      <c r="G120" s="223">
        <f>SUM(H120)</f>
        <v>0</v>
      </c>
      <c r="H120" s="223">
        <f>SUM(I120:J120)</f>
        <v>0</v>
      </c>
      <c r="I120" s="224"/>
      <c r="J120" s="223"/>
      <c r="K120" s="223"/>
      <c r="L120" s="348">
        <f>SUM(L28)</f>
        <v>6000</v>
      </c>
      <c r="M120" s="353">
        <f>SUM(M28)</f>
        <v>6000</v>
      </c>
    </row>
    <row r="121" spans="1:13" ht="13.5" thickBot="1">
      <c r="A121" s="193"/>
      <c r="B121" s="228">
        <v>926</v>
      </c>
      <c r="C121" s="229"/>
      <c r="D121" s="230"/>
      <c r="E121" s="233" t="s">
        <v>193</v>
      </c>
      <c r="F121" s="231">
        <f t="shared" si="0"/>
        <v>37013.16</v>
      </c>
      <c r="G121" s="231">
        <f t="shared" si="1"/>
        <v>37013.16</v>
      </c>
      <c r="H121" s="231">
        <f t="shared" si="2"/>
        <v>37013.16</v>
      </c>
      <c r="I121" s="229"/>
      <c r="J121" s="231">
        <f>SUM(J122)</f>
        <v>37013.16</v>
      </c>
      <c r="K121" s="231"/>
      <c r="L121" s="231">
        <f>SUM(L122)</f>
        <v>0</v>
      </c>
      <c r="M121" s="232">
        <f>SUM(M122)</f>
        <v>0</v>
      </c>
    </row>
    <row r="122" spans="1:13" ht="12.75">
      <c r="A122" s="193"/>
      <c r="B122" s="211"/>
      <c r="C122" s="422">
        <v>92605</v>
      </c>
      <c r="D122" s="422"/>
      <c r="E122" s="422" t="s">
        <v>195</v>
      </c>
      <c r="F122" s="485">
        <f t="shared" si="0"/>
        <v>37013.16</v>
      </c>
      <c r="G122" s="485">
        <f t="shared" si="1"/>
        <v>37013.16</v>
      </c>
      <c r="H122" s="485">
        <f t="shared" si="2"/>
        <v>37013.16</v>
      </c>
      <c r="I122" s="422"/>
      <c r="J122" s="485">
        <f>SUM(J123+J124)</f>
        <v>37013.16</v>
      </c>
      <c r="K122" s="485"/>
      <c r="L122" s="485">
        <f>SUM(L123+L124)</f>
        <v>0</v>
      </c>
      <c r="M122" s="485">
        <f>SUM(M123+M124)</f>
        <v>0</v>
      </c>
    </row>
    <row r="123" spans="1:13" ht="12.75">
      <c r="A123" s="193"/>
      <c r="B123" s="194"/>
      <c r="C123" s="194"/>
      <c r="D123" s="200">
        <v>4210</v>
      </c>
      <c r="E123" s="200" t="s">
        <v>308</v>
      </c>
      <c r="F123" s="201">
        <f>SUM(G123+L123)</f>
        <v>12000</v>
      </c>
      <c r="G123" s="201">
        <f t="shared" si="1"/>
        <v>12000</v>
      </c>
      <c r="H123" s="201">
        <f>SUM(I123:J123)</f>
        <v>12000</v>
      </c>
      <c r="I123" s="200"/>
      <c r="J123" s="201">
        <f>SUM(J20+J25)</f>
        <v>12000</v>
      </c>
      <c r="K123" s="201"/>
      <c r="L123" s="201"/>
      <c r="M123" s="201"/>
    </row>
    <row r="124" spans="1:13" ht="12.75">
      <c r="A124" s="193"/>
      <c r="B124" s="194"/>
      <c r="C124" s="194"/>
      <c r="D124" s="200">
        <v>4300</v>
      </c>
      <c r="E124" s="200" t="s">
        <v>310</v>
      </c>
      <c r="F124" s="201">
        <f>SUM(G124+L124)</f>
        <v>25013.16</v>
      </c>
      <c r="G124" s="201">
        <f t="shared" si="1"/>
        <v>25013.16</v>
      </c>
      <c r="H124" s="201">
        <f>SUM(I124:J124)</f>
        <v>25013.16</v>
      </c>
      <c r="I124" s="200"/>
      <c r="J124" s="201">
        <f>SUM(J21+J32+J65)</f>
        <v>25013.16</v>
      </c>
      <c r="K124" s="201"/>
      <c r="L124" s="201"/>
      <c r="M124" s="201"/>
    </row>
    <row r="125" spans="1:13" ht="13.5" thickBot="1">
      <c r="A125" s="193"/>
      <c r="B125" s="215"/>
      <c r="C125" s="215"/>
      <c r="D125" s="253">
        <v>6060</v>
      </c>
      <c r="E125" s="253" t="s">
        <v>311</v>
      </c>
      <c r="F125" s="254">
        <f>SUM(G125+L125)</f>
        <v>0</v>
      </c>
      <c r="G125" s="254">
        <f>SUM(H125)</f>
        <v>0</v>
      </c>
      <c r="H125" s="254">
        <f>SUM(I125:J125)</f>
        <v>0</v>
      </c>
      <c r="I125" s="253"/>
      <c r="J125" s="254"/>
      <c r="K125" s="254"/>
      <c r="L125" s="254"/>
      <c r="M125" s="254"/>
    </row>
    <row r="126" spans="1:13" ht="13.5" thickBot="1">
      <c r="A126" s="193"/>
      <c r="B126" s="216"/>
      <c r="C126" s="226"/>
      <c r="D126" s="226"/>
      <c r="E126" s="226" t="s">
        <v>238</v>
      </c>
      <c r="F126" s="220">
        <f>SUM(G126+L126)</f>
        <v>353386.71</v>
      </c>
      <c r="G126" s="220">
        <f>SUM(H126+K126)</f>
        <v>259196.25000000003</v>
      </c>
      <c r="H126" s="220">
        <f>SUM(I126:J126)</f>
        <v>259196.25000000003</v>
      </c>
      <c r="I126" s="226"/>
      <c r="J126" s="220">
        <f>SUM(J93+J104+J110+J115+J121)</f>
        <v>259196.25000000003</v>
      </c>
      <c r="K126" s="234"/>
      <c r="L126" s="235">
        <f>SUM(L93+L98+L101+L104+L110+L115+L121)</f>
        <v>94190.45999999999</v>
      </c>
      <c r="M126" s="235">
        <f>SUM(M93+M98+M101+M104+M110+M115+M121)</f>
        <v>94190.45999999999</v>
      </c>
    </row>
  </sheetData>
  <sheetProtection/>
  <mergeCells count="58">
    <mergeCell ref="M91:M92"/>
    <mergeCell ref="F89:F92"/>
    <mergeCell ref="G89:L89"/>
    <mergeCell ref="G90:G92"/>
    <mergeCell ref="H90:J90"/>
    <mergeCell ref="L90:L92"/>
    <mergeCell ref="H91:H92"/>
    <mergeCell ref="I91:J91"/>
    <mergeCell ref="K91:K92"/>
    <mergeCell ref="A78:A81"/>
    <mergeCell ref="A82:A84"/>
    <mergeCell ref="B87:E87"/>
    <mergeCell ref="B88:E88"/>
    <mergeCell ref="B89:B92"/>
    <mergeCell ref="C89:C92"/>
    <mergeCell ref="D89:D92"/>
    <mergeCell ref="E89:E92"/>
    <mergeCell ref="A52:A55"/>
    <mergeCell ref="A56:A61"/>
    <mergeCell ref="A72:A73"/>
    <mergeCell ref="A74:A75"/>
    <mergeCell ref="A76:A77"/>
    <mergeCell ref="A62:A63"/>
    <mergeCell ref="A64:A65"/>
    <mergeCell ref="A66:A67"/>
    <mergeCell ref="A68:A71"/>
    <mergeCell ref="A37:A38"/>
    <mergeCell ref="A39:A40"/>
    <mergeCell ref="A41:A42"/>
    <mergeCell ref="A43:A44"/>
    <mergeCell ref="A45:A49"/>
    <mergeCell ref="A50:A51"/>
    <mergeCell ref="A19:A21"/>
    <mergeCell ref="A22:A25"/>
    <mergeCell ref="A26:A28"/>
    <mergeCell ref="A29:A32"/>
    <mergeCell ref="A33:A34"/>
    <mergeCell ref="A35:A36"/>
    <mergeCell ref="M5:M6"/>
    <mergeCell ref="A8:A9"/>
    <mergeCell ref="A10:A11"/>
    <mergeCell ref="A12:A14"/>
    <mergeCell ref="A15:A16"/>
    <mergeCell ref="A17:A18"/>
    <mergeCell ref="G3:L3"/>
    <mergeCell ref="G4:G6"/>
    <mergeCell ref="H4:J4"/>
    <mergeCell ref="L4:L6"/>
    <mergeCell ref="H5:H6"/>
    <mergeCell ref="I5:J5"/>
    <mergeCell ref="K5:K6"/>
    <mergeCell ref="A1:F1"/>
    <mergeCell ref="B3:B6"/>
    <mergeCell ref="C3:C6"/>
    <mergeCell ref="D3:D6"/>
    <mergeCell ref="E3:E6"/>
    <mergeCell ref="F3:F6"/>
    <mergeCell ref="A2:F2"/>
  </mergeCells>
  <printOptions/>
  <pageMargins left="0.75" right="0.75" top="1" bottom="1" header="0.5" footer="0.5"/>
  <pageSetup horizontalDpi="600" verticalDpi="600" orientation="landscape" paperSize="9" scale="80" r:id="rId1"/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C1">
      <selection activeCell="D18" sqref="D18"/>
    </sheetView>
  </sheetViews>
  <sheetFormatPr defaultColWidth="9.00390625" defaultRowHeight="12.75"/>
  <cols>
    <col min="1" max="1" width="4.875" style="0" customWidth="1"/>
    <col min="2" max="2" width="5.875" style="0" customWidth="1"/>
    <col min="3" max="3" width="5.00390625" style="0" customWidth="1"/>
    <col min="4" max="4" width="37.25390625" style="0" customWidth="1"/>
    <col min="5" max="6" width="11.00390625" style="0" customWidth="1"/>
    <col min="7" max="7" width="11.125" style="0" customWidth="1"/>
    <col min="8" max="8" width="11.625" style="0" customWidth="1"/>
    <col min="9" max="9" width="10.75390625" style="0" customWidth="1"/>
    <col min="10" max="10" width="10.875" style="0" customWidth="1"/>
    <col min="11" max="11" width="10.00390625" style="0" customWidth="1"/>
    <col min="12" max="12" width="10.125" style="0" customWidth="1"/>
  </cols>
  <sheetData>
    <row r="1" spans="1:11" ht="54.75" customHeight="1">
      <c r="A1" s="859" t="s">
        <v>556</v>
      </c>
      <c r="B1" s="859"/>
      <c r="C1" s="859"/>
      <c r="D1" s="859"/>
      <c r="E1" s="859"/>
      <c r="F1" s="859"/>
      <c r="K1" s="721"/>
    </row>
    <row r="2" spans="1:10" ht="19.5" customHeight="1">
      <c r="A2" s="801" t="s">
        <v>557</v>
      </c>
      <c r="B2" s="801"/>
      <c r="C2" s="801"/>
      <c r="D2" s="801"/>
      <c r="E2" s="801"/>
      <c r="F2" s="801"/>
      <c r="G2" s="801"/>
      <c r="H2" s="309"/>
      <c r="I2" s="309"/>
      <c r="J2" s="310"/>
    </row>
    <row r="3" spans="1:12" ht="12.75" customHeight="1">
      <c r="A3" s="824" t="s">
        <v>197</v>
      </c>
      <c r="B3" s="826" t="s">
        <v>58</v>
      </c>
      <c r="C3" s="826" t="s">
        <v>298</v>
      </c>
      <c r="D3" s="816" t="s">
        <v>57</v>
      </c>
      <c r="E3" s="815" t="s">
        <v>322</v>
      </c>
      <c r="F3" s="818" t="s">
        <v>93</v>
      </c>
      <c r="G3" s="818"/>
      <c r="H3" s="818"/>
      <c r="I3" s="818"/>
      <c r="J3" s="818"/>
      <c r="K3" s="818"/>
      <c r="L3" s="192"/>
    </row>
    <row r="4" spans="1:12" ht="12.75">
      <c r="A4" s="824"/>
      <c r="B4" s="826"/>
      <c r="C4" s="826"/>
      <c r="D4" s="816"/>
      <c r="E4" s="816"/>
      <c r="F4" s="815" t="s">
        <v>151</v>
      </c>
      <c r="G4" s="818" t="s">
        <v>93</v>
      </c>
      <c r="H4" s="818"/>
      <c r="I4" s="818"/>
      <c r="J4" s="818"/>
      <c r="K4" s="815" t="s">
        <v>152</v>
      </c>
      <c r="L4" s="24" t="s">
        <v>93</v>
      </c>
    </row>
    <row r="5" spans="1:12" ht="12.75">
      <c r="A5" s="824"/>
      <c r="B5" s="826"/>
      <c r="C5" s="826"/>
      <c r="D5" s="816"/>
      <c r="E5" s="816"/>
      <c r="F5" s="815"/>
      <c r="G5" s="820" t="s">
        <v>153</v>
      </c>
      <c r="H5" s="818" t="s">
        <v>93</v>
      </c>
      <c r="I5" s="818"/>
      <c r="J5" s="810" t="s">
        <v>154</v>
      </c>
      <c r="K5" s="815"/>
      <c r="L5" s="878" t="s">
        <v>157</v>
      </c>
    </row>
    <row r="6" spans="1:12" ht="57" thickBot="1">
      <c r="A6" s="825"/>
      <c r="B6" s="827"/>
      <c r="C6" s="827"/>
      <c r="D6" s="817"/>
      <c r="E6" s="817"/>
      <c r="F6" s="819"/>
      <c r="G6" s="821"/>
      <c r="H6" s="311" t="s">
        <v>158</v>
      </c>
      <c r="I6" s="311" t="s">
        <v>159</v>
      </c>
      <c r="J6" s="812"/>
      <c r="K6" s="819"/>
      <c r="L6" s="890"/>
    </row>
    <row r="7" spans="1:12" ht="14.25" thickBot="1" thickTop="1">
      <c r="A7" s="312">
        <v>1</v>
      </c>
      <c r="B7" s="312">
        <v>2</v>
      </c>
      <c r="C7" s="312">
        <v>3</v>
      </c>
      <c r="D7" s="313">
        <v>4</v>
      </c>
      <c r="E7" s="314">
        <v>6</v>
      </c>
      <c r="F7" s="315">
        <v>7</v>
      </c>
      <c r="G7" s="314">
        <v>8</v>
      </c>
      <c r="H7" s="314">
        <v>9</v>
      </c>
      <c r="I7" s="314">
        <v>10</v>
      </c>
      <c r="J7" s="314">
        <v>12</v>
      </c>
      <c r="K7" s="314">
        <v>15</v>
      </c>
      <c r="L7" s="316">
        <v>16</v>
      </c>
    </row>
    <row r="8" spans="1:12" ht="23.25" thickBot="1">
      <c r="A8" s="329">
        <v>900</v>
      </c>
      <c r="B8" s="330"/>
      <c r="C8" s="331"/>
      <c r="D8" s="32" t="s">
        <v>92</v>
      </c>
      <c r="E8" s="324">
        <f>SUM(F8+K8)</f>
        <v>586000</v>
      </c>
      <c r="F8" s="324">
        <f>SUM(J8:J8)+G8</f>
        <v>586000</v>
      </c>
      <c r="G8" s="324">
        <f>SUM(H8:I8)</f>
        <v>561000</v>
      </c>
      <c r="H8" s="324"/>
      <c r="I8" s="324">
        <f>SUM(I9)</f>
        <v>561000</v>
      </c>
      <c r="J8" s="324">
        <f>SUM(J9)</f>
        <v>25000</v>
      </c>
      <c r="K8" s="324">
        <f>SUM(K9)</f>
        <v>0</v>
      </c>
      <c r="L8" s="325">
        <f>SUM(L9)</f>
        <v>0</v>
      </c>
    </row>
    <row r="9" spans="1:12" s="124" customFormat="1" ht="17.25" customHeight="1" thickBot="1">
      <c r="A9" s="333"/>
      <c r="B9" s="334">
        <v>90095</v>
      </c>
      <c r="C9" s="335"/>
      <c r="D9" s="336" t="s">
        <v>90</v>
      </c>
      <c r="E9" s="337">
        <f>SUM(F9+K9)</f>
        <v>586000</v>
      </c>
      <c r="F9" s="337">
        <f>SUM(J9:J9)+G9</f>
        <v>586000</v>
      </c>
      <c r="G9" s="337">
        <f aca="true" t="shared" si="0" ref="G9:G14">SUM(H9:I9)</f>
        <v>561000</v>
      </c>
      <c r="H9" s="337"/>
      <c r="I9" s="337">
        <f>SUM(I10:I14)</f>
        <v>561000</v>
      </c>
      <c r="J9" s="337">
        <f>SUM(J10:J14)</f>
        <v>25000</v>
      </c>
      <c r="K9" s="337">
        <f>SUM(K10:K14)</f>
        <v>0</v>
      </c>
      <c r="L9" s="337">
        <f>SUM(L10:L14)</f>
        <v>0</v>
      </c>
    </row>
    <row r="10" spans="1:12" ht="22.5" customHeight="1" thickTop="1">
      <c r="A10" s="318"/>
      <c r="B10" s="317"/>
      <c r="C10" s="332">
        <v>3040</v>
      </c>
      <c r="D10" s="20" t="s">
        <v>317</v>
      </c>
      <c r="E10" s="319">
        <f>SUM(F10+K10)</f>
        <v>25000</v>
      </c>
      <c r="F10" s="319">
        <f>SUM(J10:J10)+G10</f>
        <v>25000</v>
      </c>
      <c r="G10" s="319">
        <f t="shared" si="0"/>
        <v>0</v>
      </c>
      <c r="H10" s="319"/>
      <c r="I10" s="319"/>
      <c r="J10" s="319">
        <v>25000</v>
      </c>
      <c r="K10" s="319"/>
      <c r="L10" s="319"/>
    </row>
    <row r="11" spans="1:12" ht="12.75">
      <c r="A11" s="10"/>
      <c r="B11" s="10"/>
      <c r="C11" s="320">
        <v>4210</v>
      </c>
      <c r="D11" s="4" t="s">
        <v>308</v>
      </c>
      <c r="E11" s="321">
        <f>SUM(F11+K11)</f>
        <v>120000</v>
      </c>
      <c r="F11" s="321">
        <f>SUM(J11:J11)+G11</f>
        <v>120000</v>
      </c>
      <c r="G11" s="321">
        <f t="shared" si="0"/>
        <v>120000</v>
      </c>
      <c r="H11" s="321"/>
      <c r="I11" s="321">
        <v>120000</v>
      </c>
      <c r="J11" s="321"/>
      <c r="K11" s="321"/>
      <c r="L11" s="321"/>
    </row>
    <row r="12" spans="1:12" ht="12.75" customHeight="1">
      <c r="A12" s="10"/>
      <c r="B12" s="10"/>
      <c r="C12" s="322">
        <v>4270</v>
      </c>
      <c r="D12" s="323" t="s">
        <v>299</v>
      </c>
      <c r="E12" s="321"/>
      <c r="F12" s="321"/>
      <c r="G12" s="321"/>
      <c r="H12" s="321"/>
      <c r="I12" s="321"/>
      <c r="J12" s="321"/>
      <c r="K12" s="321"/>
      <c r="L12" s="321"/>
    </row>
    <row r="13" spans="1:12" ht="12.75">
      <c r="A13" s="10"/>
      <c r="B13" s="10"/>
      <c r="C13" s="320">
        <v>4300</v>
      </c>
      <c r="D13" s="4" t="s">
        <v>318</v>
      </c>
      <c r="E13" s="321">
        <f>SUM(F13+K13)</f>
        <v>436000</v>
      </c>
      <c r="F13" s="321">
        <f>SUM(J13:J13)+G13</f>
        <v>436000</v>
      </c>
      <c r="G13" s="321">
        <f t="shared" si="0"/>
        <v>436000</v>
      </c>
      <c r="H13" s="321"/>
      <c r="I13" s="321">
        <f>420000+16000</f>
        <v>436000</v>
      </c>
      <c r="J13" s="321"/>
      <c r="K13" s="321"/>
      <c r="L13" s="321"/>
    </row>
    <row r="14" spans="1:12" ht="23.25" thickBot="1">
      <c r="A14" s="339"/>
      <c r="B14" s="339"/>
      <c r="C14" s="340">
        <v>4700</v>
      </c>
      <c r="D14" s="326" t="s">
        <v>319</v>
      </c>
      <c r="E14" s="341">
        <f>SUM(F14+K14)</f>
        <v>5000</v>
      </c>
      <c r="F14" s="341">
        <f>SUM(J14:J14)+G14</f>
        <v>5000</v>
      </c>
      <c r="G14" s="341">
        <f t="shared" si="0"/>
        <v>5000</v>
      </c>
      <c r="H14" s="341"/>
      <c r="I14" s="341">
        <v>5000</v>
      </c>
      <c r="J14" s="341"/>
      <c r="K14" s="341"/>
      <c r="L14" s="341"/>
    </row>
    <row r="15" spans="1:12" ht="17.25" customHeight="1" thickBot="1">
      <c r="A15" s="891" t="s">
        <v>320</v>
      </c>
      <c r="B15" s="892"/>
      <c r="C15" s="892"/>
      <c r="D15" s="892"/>
      <c r="E15" s="118">
        <f>SUM(K15+F15)</f>
        <v>586000</v>
      </c>
      <c r="F15" s="324">
        <f>SUM(J15:J15)+G15</f>
        <v>586000</v>
      </c>
      <c r="G15" s="118">
        <f>SUM(H15:I15)</f>
        <v>561000</v>
      </c>
      <c r="H15" s="118">
        <f>SUM(H8)</f>
        <v>0</v>
      </c>
      <c r="I15" s="118">
        <f>SUM(I8)</f>
        <v>561000</v>
      </c>
      <c r="J15" s="118">
        <f>SUM(J8)</f>
        <v>25000</v>
      </c>
      <c r="K15" s="118">
        <f>SUM(K8)</f>
        <v>0</v>
      </c>
      <c r="L15" s="342">
        <f>SUM(L8)</f>
        <v>0</v>
      </c>
    </row>
    <row r="20" ht="12.75">
      <c r="F20" t="s">
        <v>60</v>
      </c>
    </row>
  </sheetData>
  <sheetProtection/>
  <mergeCells count="15">
    <mergeCell ref="A15:D15"/>
    <mergeCell ref="E3:E6"/>
    <mergeCell ref="F3:K3"/>
    <mergeCell ref="F4:F6"/>
    <mergeCell ref="G4:J4"/>
    <mergeCell ref="K4:K6"/>
    <mergeCell ref="G5:G6"/>
    <mergeCell ref="H5:I5"/>
    <mergeCell ref="J5:J6"/>
    <mergeCell ref="A1:F1"/>
    <mergeCell ref="A3:A6"/>
    <mergeCell ref="B3:B6"/>
    <mergeCell ref="C3:C6"/>
    <mergeCell ref="D3:D6"/>
    <mergeCell ref="L5:L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.125" style="0" customWidth="1"/>
    <col min="2" max="2" width="5.125" style="0" customWidth="1"/>
    <col min="3" max="3" width="6.875" style="0" customWidth="1"/>
    <col min="4" max="4" width="42.125" style="0" customWidth="1"/>
    <col min="5" max="5" width="11.25390625" style="0" customWidth="1"/>
    <col min="6" max="6" width="10.875" style="0" customWidth="1"/>
  </cols>
  <sheetData>
    <row r="1" spans="1:6" ht="56.25" customHeight="1">
      <c r="A1" s="828" t="s">
        <v>558</v>
      </c>
      <c r="B1" s="893"/>
      <c r="C1" s="893"/>
      <c r="D1" s="893"/>
      <c r="E1" s="264"/>
      <c r="F1" s="264"/>
    </row>
    <row r="2" spans="1:6" ht="12.75">
      <c r="A2" s="264"/>
      <c r="B2" s="264"/>
      <c r="C2" s="264"/>
      <c r="D2" s="264"/>
      <c r="E2" s="264"/>
      <c r="F2" s="264"/>
    </row>
    <row r="3" spans="1:6" ht="12.75">
      <c r="A3" s="894" t="s">
        <v>52</v>
      </c>
      <c r="B3" s="894"/>
      <c r="C3" s="894"/>
      <c r="D3" s="894"/>
      <c r="E3" s="894"/>
      <c r="F3" s="264"/>
    </row>
    <row r="4" spans="1:6" ht="12.75">
      <c r="A4" s="265"/>
      <c r="B4" s="265"/>
      <c r="C4" s="265"/>
      <c r="D4" s="265"/>
      <c r="E4" s="265"/>
      <c r="F4" s="264"/>
    </row>
    <row r="5" spans="1:6" ht="28.5" customHeight="1">
      <c r="A5" s="895" t="s">
        <v>136</v>
      </c>
      <c r="B5" s="895"/>
      <c r="C5" s="895"/>
      <c r="D5" s="895"/>
      <c r="E5" s="895"/>
      <c r="F5" s="238"/>
    </row>
    <row r="6" spans="1:6" ht="34.5" thickBot="1">
      <c r="A6" s="266" t="s">
        <v>114</v>
      </c>
      <c r="B6" s="266" t="s">
        <v>56</v>
      </c>
      <c r="C6" s="266" t="s">
        <v>115</v>
      </c>
      <c r="D6" s="267" t="s">
        <v>57</v>
      </c>
      <c r="E6" s="268" t="s">
        <v>132</v>
      </c>
      <c r="F6" s="269" t="s">
        <v>133</v>
      </c>
    </row>
    <row r="7" spans="1:6" ht="14.25" thickBot="1" thickTop="1">
      <c r="A7" s="270">
        <v>1</v>
      </c>
      <c r="B7" s="271"/>
      <c r="C7" s="271"/>
      <c r="D7" s="272" t="s">
        <v>134</v>
      </c>
      <c r="E7" s="625">
        <f>SUM(E8:E11)</f>
        <v>2707000</v>
      </c>
      <c r="F7" s="623">
        <f>SUM(F8:F11)</f>
        <v>125000</v>
      </c>
    </row>
    <row r="8" spans="1:6" ht="18.75" customHeight="1">
      <c r="A8" s="12"/>
      <c r="B8" s="273">
        <v>921</v>
      </c>
      <c r="C8" s="273">
        <v>92109</v>
      </c>
      <c r="D8" s="274" t="s">
        <v>144</v>
      </c>
      <c r="E8" s="31">
        <f>1800000+2000</f>
        <v>1802000</v>
      </c>
      <c r="F8" s="31"/>
    </row>
    <row r="9" spans="1:6" ht="24.75" customHeight="1">
      <c r="A9" s="12"/>
      <c r="B9" s="273"/>
      <c r="C9" s="273">
        <v>92109</v>
      </c>
      <c r="D9" s="275" t="s">
        <v>247</v>
      </c>
      <c r="E9" s="31"/>
      <c r="F9" s="31">
        <v>125000</v>
      </c>
    </row>
    <row r="10" spans="1:9" ht="24.75" customHeight="1">
      <c r="A10" s="4"/>
      <c r="B10" s="276"/>
      <c r="C10" s="276">
        <v>92116</v>
      </c>
      <c r="D10" s="277" t="s">
        <v>146</v>
      </c>
      <c r="E10" s="33">
        <v>500000</v>
      </c>
      <c r="F10" s="626"/>
      <c r="I10" t="s">
        <v>60</v>
      </c>
    </row>
    <row r="11" spans="1:7" ht="15.75" customHeight="1">
      <c r="A11" s="4"/>
      <c r="B11" s="276"/>
      <c r="C11" s="276">
        <v>92118</v>
      </c>
      <c r="D11" s="278" t="s">
        <v>145</v>
      </c>
      <c r="E11" s="33">
        <v>405000</v>
      </c>
      <c r="F11" s="626"/>
      <c r="G11" t="s">
        <v>60</v>
      </c>
    </row>
    <row r="12" spans="1:6" ht="15.75" customHeight="1" thickBot="1">
      <c r="A12" s="279">
        <v>2</v>
      </c>
      <c r="B12" s="280"/>
      <c r="C12" s="280"/>
      <c r="D12" s="281" t="s">
        <v>137</v>
      </c>
      <c r="E12" s="627">
        <f>SUM(E13)</f>
        <v>580000</v>
      </c>
      <c r="F12" s="627">
        <f>SUM(F13)</f>
        <v>0</v>
      </c>
    </row>
    <row r="13" spans="1:6" ht="16.5" customHeight="1" thickBot="1">
      <c r="A13" s="282"/>
      <c r="B13" s="283">
        <v>926</v>
      </c>
      <c r="C13" s="283">
        <v>92695</v>
      </c>
      <c r="D13" s="284" t="s">
        <v>117</v>
      </c>
      <c r="E13" s="628">
        <v>580000</v>
      </c>
      <c r="F13" s="629"/>
    </row>
    <row r="14" spans="1:6" ht="15" customHeight="1">
      <c r="A14" s="264"/>
      <c r="B14" s="264"/>
      <c r="C14" s="264"/>
      <c r="D14" s="286" t="s">
        <v>61</v>
      </c>
      <c r="E14" s="301">
        <f>SUM(E7+E12)</f>
        <v>3287000</v>
      </c>
      <c r="F14" s="301">
        <f>SUM(F7+F12)</f>
        <v>125000</v>
      </c>
    </row>
    <row r="15" spans="1:6" ht="11.25" customHeight="1">
      <c r="A15" s="264"/>
      <c r="B15" s="264"/>
      <c r="C15" s="264"/>
      <c r="D15" s="264"/>
      <c r="E15" s="288"/>
      <c r="F15" s="264"/>
    </row>
    <row r="16" spans="1:6" ht="30" customHeight="1">
      <c r="A16" s="895" t="s">
        <v>135</v>
      </c>
      <c r="B16" s="895"/>
      <c r="C16" s="895"/>
      <c r="D16" s="895"/>
      <c r="E16" s="895"/>
      <c r="F16" s="238" t="s">
        <v>60</v>
      </c>
    </row>
    <row r="17" spans="1:6" ht="42" customHeight="1" thickBot="1">
      <c r="A17" s="266" t="s">
        <v>114</v>
      </c>
      <c r="B17" s="266" t="s">
        <v>56</v>
      </c>
      <c r="C17" s="266" t="s">
        <v>115</v>
      </c>
      <c r="D17" s="289" t="s">
        <v>57</v>
      </c>
      <c r="E17" s="268" t="s">
        <v>132</v>
      </c>
      <c r="F17" s="269" t="s">
        <v>133</v>
      </c>
    </row>
    <row r="18" spans="1:6" ht="21" customHeight="1" thickTop="1">
      <c r="A18" s="290">
        <v>1</v>
      </c>
      <c r="B18" s="754">
        <v>750</v>
      </c>
      <c r="C18" s="754">
        <v>75075</v>
      </c>
      <c r="D18" s="753" t="s">
        <v>512</v>
      </c>
      <c r="E18" s="756">
        <v>21000</v>
      </c>
      <c r="F18" s="755"/>
    </row>
    <row r="19" spans="1:6" ht="24" customHeight="1">
      <c r="A19" s="8">
        <v>2</v>
      </c>
      <c r="B19" s="273">
        <v>754</v>
      </c>
      <c r="C19" s="273">
        <v>75412</v>
      </c>
      <c r="D19" s="20" t="s">
        <v>138</v>
      </c>
      <c r="E19" s="31">
        <v>30000</v>
      </c>
      <c r="F19" s="654">
        <f>SUM(F20:F24)</f>
        <v>0</v>
      </c>
    </row>
    <row r="20" spans="1:6" ht="17.25" customHeight="1" thickBot="1">
      <c r="A20" s="291">
        <v>3</v>
      </c>
      <c r="B20" s="292"/>
      <c r="C20" s="292"/>
      <c r="D20" s="291" t="s">
        <v>126</v>
      </c>
      <c r="E20" s="623">
        <f>SUM(E21:E23)</f>
        <v>1409288</v>
      </c>
      <c r="F20" s="293"/>
    </row>
    <row r="21" spans="1:8" ht="13.5" customHeight="1">
      <c r="A21" s="12"/>
      <c r="B21" s="273">
        <v>801</v>
      </c>
      <c r="C21" s="273">
        <v>80101</v>
      </c>
      <c r="D21" s="12" t="s">
        <v>59</v>
      </c>
      <c r="E21" s="33">
        <v>487053</v>
      </c>
      <c r="F21" s="31"/>
      <c r="H21" s="236"/>
    </row>
    <row r="22" spans="1:6" ht="15.75" customHeight="1">
      <c r="A22" s="4"/>
      <c r="B22" s="239"/>
      <c r="C22" s="276">
        <v>80104</v>
      </c>
      <c r="D22" s="4" t="s">
        <v>113</v>
      </c>
      <c r="E22" s="33">
        <v>303985</v>
      </c>
      <c r="F22" s="33"/>
    </row>
    <row r="23" spans="1:6" ht="17.25" customHeight="1">
      <c r="A23" s="4"/>
      <c r="B23" s="239"/>
      <c r="C23" s="276">
        <v>80110</v>
      </c>
      <c r="D23" s="4" t="s">
        <v>116</v>
      </c>
      <c r="E23" s="33">
        <v>618250</v>
      </c>
      <c r="F23" s="33"/>
    </row>
    <row r="24" spans="1:6" ht="15.75" customHeight="1">
      <c r="A24" s="8">
        <v>4</v>
      </c>
      <c r="B24" s="273">
        <v>851</v>
      </c>
      <c r="C24" s="273">
        <v>85153</v>
      </c>
      <c r="D24" s="12" t="s">
        <v>139</v>
      </c>
      <c r="E24" s="31">
        <v>3800</v>
      </c>
      <c r="F24" s="33"/>
    </row>
    <row r="25" spans="1:6" ht="16.5" customHeight="1">
      <c r="A25" s="7">
        <v>5</v>
      </c>
      <c r="B25" s="276">
        <v>851</v>
      </c>
      <c r="C25" s="276">
        <v>85154</v>
      </c>
      <c r="D25" s="13" t="s">
        <v>140</v>
      </c>
      <c r="E25" s="33">
        <f>16500+16000+47500+207840+14000</f>
        <v>301840</v>
      </c>
      <c r="F25" s="33"/>
    </row>
    <row r="26" spans="1:8" ht="22.5">
      <c r="A26" s="7">
        <v>6</v>
      </c>
      <c r="B26" s="276">
        <v>852</v>
      </c>
      <c r="C26" s="276">
        <v>85203</v>
      </c>
      <c r="D26" s="14" t="s">
        <v>141</v>
      </c>
      <c r="E26" s="33">
        <v>352800</v>
      </c>
      <c r="F26" s="33"/>
      <c r="H26" t="s">
        <v>60</v>
      </c>
    </row>
    <row r="27" spans="1:6" ht="25.5" customHeight="1">
      <c r="A27" s="7">
        <v>7</v>
      </c>
      <c r="B27" s="276">
        <v>853</v>
      </c>
      <c r="C27" s="276">
        <v>85311</v>
      </c>
      <c r="D27" s="14" t="s">
        <v>142</v>
      </c>
      <c r="E27" s="33">
        <v>35850</v>
      </c>
      <c r="F27" s="33"/>
    </row>
    <row r="28" spans="1:6" ht="17.25" customHeight="1">
      <c r="A28" s="294">
        <v>8</v>
      </c>
      <c r="B28" s="295">
        <v>921</v>
      </c>
      <c r="C28" s="295">
        <v>92120</v>
      </c>
      <c r="D28" s="296" t="s">
        <v>292</v>
      </c>
      <c r="E28" s="414"/>
      <c r="F28" s="33">
        <v>50000</v>
      </c>
    </row>
    <row r="29" spans="1:6" ht="19.5" customHeight="1" thickBot="1">
      <c r="A29" s="279">
        <v>9</v>
      </c>
      <c r="B29" s="297">
        <v>926</v>
      </c>
      <c r="C29" s="297">
        <v>92605</v>
      </c>
      <c r="D29" s="298" t="s">
        <v>143</v>
      </c>
      <c r="E29" s="624">
        <v>310200</v>
      </c>
      <c r="F29" s="293"/>
    </row>
    <row r="30" spans="1:6" ht="18.75" customHeight="1">
      <c r="A30" s="285"/>
      <c r="B30" s="285"/>
      <c r="C30" s="285"/>
      <c r="D30" s="68" t="s">
        <v>63</v>
      </c>
      <c r="E30" s="299">
        <f>SUM(E18:E20)+SUM(E24:E29)</f>
        <v>2464778</v>
      </c>
      <c r="F30" s="299">
        <f>SUM(F21:F29)</f>
        <v>50000</v>
      </c>
    </row>
    <row r="31" spans="1:6" ht="12.75">
      <c r="A31" s="264"/>
      <c r="B31" s="264"/>
      <c r="C31" s="264"/>
      <c r="D31" s="264"/>
      <c r="E31" s="300"/>
      <c r="F31" s="264"/>
    </row>
    <row r="32" spans="1:6" ht="12.75">
      <c r="A32" s="264"/>
      <c r="B32" s="264"/>
      <c r="C32" s="264"/>
      <c r="D32" s="264" t="s">
        <v>118</v>
      </c>
      <c r="E32" s="301">
        <f>SUM(E14+E30)</f>
        <v>5751778</v>
      </c>
      <c r="F32" s="287">
        <f>SUM(F14+F30)</f>
        <v>175000</v>
      </c>
    </row>
  </sheetData>
  <sheetProtection/>
  <mergeCells count="4">
    <mergeCell ref="A1:D1"/>
    <mergeCell ref="A3:E3"/>
    <mergeCell ref="A5:E5"/>
    <mergeCell ref="A16:E16"/>
  </mergeCells>
  <printOptions/>
  <pageMargins left="0.75" right="0.75" top="1" bottom="1" header="0.5" footer="0.5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Opocznie</dc:creator>
  <cp:keywords/>
  <dc:description/>
  <cp:lastModifiedBy>Darek_B</cp:lastModifiedBy>
  <cp:lastPrinted>2011-02-01T11:16:18Z</cp:lastPrinted>
  <dcterms:created xsi:type="dcterms:W3CDTF">2003-08-12T07:19:45Z</dcterms:created>
  <dcterms:modified xsi:type="dcterms:W3CDTF">2011-02-10T13:04:24Z</dcterms:modified>
  <cp:category/>
  <cp:version/>
  <cp:contentType/>
  <cp:contentStatus/>
</cp:coreProperties>
</file>