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5925" windowHeight="4935" activeTab="0"/>
  </bookViews>
  <sheets>
    <sheet name="zał nr 6a" sheetId="1" r:id="rId1"/>
    <sheet name="zał nr 9" sheetId="2" r:id="rId2"/>
    <sheet name="zał nr 7" sheetId="3" r:id="rId3"/>
    <sheet name="zał nr10" sheetId="4" r:id="rId4"/>
    <sheet name="zał nr 8" sheetId="5" r:id="rId5"/>
    <sheet name="zał nr 6" sheetId="6" r:id="rId6"/>
    <sheet name="inw.2009" sheetId="7" r:id="rId7"/>
    <sheet name="2009-2014 UE" sheetId="8" r:id="rId8"/>
    <sheet name="inw 2009-2011" sheetId="9" r:id="rId9"/>
    <sheet name="doch.2009" sheetId="10" r:id="rId10"/>
    <sheet name="wyd.2009" sheetId="11" r:id="rId11"/>
    <sheet name="zad.zlec 2008" sheetId="12" r:id="rId12"/>
  </sheets>
  <definedNames>
    <definedName name="_xlnm.Print_Area" localSheetId="8">'inw 2009-2011'!$A$1:$K$56</definedName>
  </definedNames>
  <calcPr fullCalcOnLoad="1"/>
</workbook>
</file>

<file path=xl/sharedStrings.xml><?xml version="1.0" encoding="utf-8"?>
<sst xmlns="http://schemas.openxmlformats.org/spreadsheetml/2006/main" count="988" uniqueCount="542">
  <si>
    <t>dotacje celowe otrzymane z budżetu państwa na realizację inwestycji i zakupów inwestycyjnych własnych gmin (związków gmin)</t>
  </si>
  <si>
    <t>Obiekty sportowe</t>
  </si>
  <si>
    <t>URZĘDY NACZELNYCH ORGANÓW
WŁADZY PAŃSTWOWEJ, KONTROLI I OCHRONY PRAWA ORAZ SĄDOWNICTWA</t>
  </si>
  <si>
    <t>Pomoc dla repatriantów</t>
  </si>
  <si>
    <t>Kwota
2009 r.</t>
  </si>
  <si>
    <t>Schroniska dla zwierząt</t>
  </si>
  <si>
    <t>zakupy inwestycyjne</t>
  </si>
  <si>
    <t>GZOPO</t>
  </si>
  <si>
    <t>Lp</t>
  </si>
  <si>
    <t>nazwa zadania</t>
  </si>
  <si>
    <t>kwota do spłaty
w 2009 r.</t>
  </si>
  <si>
    <t>WFOŚiGW w Łodzi – Budowa sieci wodociągowej z przyłączami w 
m.Zameczek,Wygnanów, Wólka Karwicka</t>
  </si>
  <si>
    <t xml:space="preserve">WFOŚiGW w Łodzi – Budowa kanalizacji deszczowej w ul.Kuligowskiej w Opocznie </t>
  </si>
  <si>
    <t>WFOŚiGW w Łodzi – Budowa kanalizacji deszczowej odprowadzającej wody opadowe z ul.Świerkowej,skrzyżowania ul.Granicznej z ul.Inowłodzką i osiedla Milenijnego</t>
  </si>
  <si>
    <t>WFOŚiGW w Łodzi - Budowa kanalizacji deszczowej odprowadzającej wody opadowe z ul. Limanowskiego, Mickiewicza, Wapiennej, Łaziennej i Przedszkolnej w Opocznie</t>
  </si>
  <si>
    <t>WFOŚiGW w Łodzi – Termomodernizacja budynku Szkoły Podstawowej w Libiszowie gm.Opoczno</t>
  </si>
  <si>
    <t>WFOŚiGW w Łodzi – Aktywizacja wschodniej części gminy poprzez budowę infrastruktury wodociągowej i sanitarnej – udział własny</t>
  </si>
  <si>
    <t xml:space="preserve">WFOŚiGW w Łodzi – Budowa infrastruktury wodno-ściekowej na terenie gminy Opoczno </t>
  </si>
  <si>
    <t>WFOŚiGW w Łodzi - Budowa kanalizacji deszczowej ul.Piotrkowska 
53, 59 w Opocznie</t>
  </si>
  <si>
    <t>WFOŚiGW w Łodzi - Budowa kanalizacji deszczowej ul.Małachowskiego w Opocznie</t>
  </si>
  <si>
    <t xml:space="preserve"> PLAN WYDATKÓW 
zadań zleconych na 2009 rok</t>
  </si>
  <si>
    <t>plan
2009r</t>
  </si>
  <si>
    <t>opłata od posiadania psów</t>
  </si>
  <si>
    <t>renta planistyczna</t>
  </si>
  <si>
    <t>zajecie pasa drogowego</t>
  </si>
  <si>
    <t>Szpitale ogólne</t>
  </si>
  <si>
    <t xml:space="preserve"> pożyczka WFOŚiGW - 10.980</t>
  </si>
  <si>
    <t>Zarządzanie kryzysowe</t>
  </si>
  <si>
    <t>Zadania inwestycyjne w 2009 r.</t>
  </si>
  <si>
    <t>rok budżetowy 2009 (8+9+10+11)</t>
  </si>
  <si>
    <t>Modernizacja ul.Kuligowskiej dł.1100mb (PT-16.000,-)</t>
  </si>
  <si>
    <t>Modernizacja dróg  Biernackiego, Słowackiego dł. 1445 mb (w tym przebudowa nawierzchni) + PT</t>
  </si>
  <si>
    <t>Modernizacja ul.Św.Marka, M.C.Skłodowskiej do ul.Inowlodzkiej dł 1250mb + PT</t>
  </si>
  <si>
    <t>Modernizacja ul.Partyzantów, Limanowskiego, Przedszkolna, Cicha, Janasa, Zjazdowa, Szpitalna, pl. Kilińskiego, Garncarska, Błonie dł. 2800 mb + PT</t>
  </si>
  <si>
    <t>Budowa ul.Działkowej dł. 800 mb z oświetleniem ulicznym + PT</t>
  </si>
  <si>
    <t xml:space="preserve">Modernizacja drogi Wola Załężna-Szkoła Podstawowa z przebudową mostu w Woli Załężnej dł. 300 mb + PT </t>
  </si>
  <si>
    <t>Modernizacja drogi Stużno Wieś-Mroczków Duży 
dł. 3650 mb (PT 145.000 zł.)</t>
  </si>
  <si>
    <t>Budowa Zintegrowanego Systemu e-Usług Publicznyh Województwa Łódkziego (wrota Regionu Łódzkiego)</t>
  </si>
  <si>
    <t>UM jako Partner zadania realizowanego przez Urząd Marszałkowski</t>
  </si>
  <si>
    <t>Budowa infrastruktury wodno-ściekowej na terenie gminy Opoczno - etap I</t>
  </si>
  <si>
    <t xml:space="preserve">Modernizacja ujęcia wody w Opocznie </t>
  </si>
  <si>
    <t>Budowa kolektora deszczowego w Opocznie</t>
  </si>
  <si>
    <t>inżynier kontraktu, zarządzanie projektem, JRP, promocja, konsultant, wniosek aplikacyjny</t>
  </si>
  <si>
    <t>Budowa infrastruktury wodno-ściekowej na terenie gminy Opoczno etap II</t>
  </si>
  <si>
    <t>Budowa kanalizacji sanitarnej zlewnia Kliny + PT</t>
  </si>
  <si>
    <t xml:space="preserve">Budowa kanalizacji sanitarnej w gm. Opoczno - I etap, zlewnia Libiszów (dł. 8191 mb, przyłącza 2970 mb, oczyszczalnia szt.1), studium wykonalości, dokumentacja techniczna, zarządzanie projektem, promocja </t>
  </si>
  <si>
    <t>Załącznik Nr 6a
do Uchwały Nr XXIII /230/08
Rady Miejskiej w Opocznie
z dnia 19 grudnia 2008 r.</t>
  </si>
  <si>
    <t>2006-2014</t>
  </si>
  <si>
    <t>2007-2011</t>
  </si>
  <si>
    <t>2006-2011</t>
  </si>
  <si>
    <t>2009-2014</t>
  </si>
  <si>
    <t>2005-2010</t>
  </si>
  <si>
    <t>2006-2010</t>
  </si>
  <si>
    <t>2010-2013</t>
  </si>
  <si>
    <t xml:space="preserve">Budowa zakładu unieszkodliwiania odpadów w Różannie, oraz zamknięcia i rekultywacji składowiska w Różannie. Wniosek aplikacyjny, nadzór budowlany, obsługa finansowa projektu </t>
  </si>
  <si>
    <t>Renowacja i odbudowa zalewu w Opocznie pow. zb. 6,15 ha,pojemność 88.230 m3, + modernizacja jazu + wniosek aplikacyjny, nadzór inwestorski, przebudowa sieci elektrycznych i teletechnicznych (PT-40.000,-</t>
  </si>
  <si>
    <t>Dotacja WFOŚiGW 
Urząd Miejski 
w Opocznie</t>
  </si>
  <si>
    <t>Modernizacja targowisk miejskich przy Al.Sportowej i ul.Piotrkowskiej oraz zasilanie elektryczne pawilonów handlowych + PT, studium wykonalości, wniosek aplikacyjny</t>
  </si>
  <si>
    <t xml:space="preserve">Budowa placów zabaw przy ul.Partyzantów 38b, M.C.Skłodowskiej, Kossaka 16, Norwida 1a, Al..Dąbrówki, Rolnej </t>
  </si>
  <si>
    <t xml:space="preserve">Budowa świetlicy wiejskiej w Modrzewiu </t>
  </si>
  <si>
    <t xml:space="preserve">Budowa świetlicy wiejskiej w Mroczkowie Gościnnym </t>
  </si>
  <si>
    <t>Rozbudow budynku świetlicy wiejskiej w Stużnie</t>
  </si>
  <si>
    <t>plan odnowy miejscowości, wniosek aplikacyjny, nadzór inwestorski, promocja, obsługa finansowa</t>
  </si>
  <si>
    <t xml:space="preserve">Przebudowa Patio wraz z termomodernizacją MDK 
w Opocznie, wniosek aplikacyjny, </t>
  </si>
  <si>
    <t>Budowa boiska sportowego w m.Januszewice - PT</t>
  </si>
  <si>
    <t>Połączenie ulic Sienkiewicza z Armii Krajowej wraz z miejscami parkingowymi przy ul.Armii Krajowej - I etap</t>
  </si>
  <si>
    <t xml:space="preserve">Budowa zatoki autobusowej w m.Bielowice przy Szkole Podstawowej </t>
  </si>
  <si>
    <t>Budowa ulic: Plonowa, Zielna, Żytnia, dł. 1060 mb, decyzja lokalizacji dróg - 3.000 zł, PT 69.000 zł</t>
  </si>
  <si>
    <t xml:space="preserve">PT chodnika od ul.Małachowskiego do ul.Leśnej </t>
  </si>
  <si>
    <t>Ochotnicze Straże Pożarne</t>
  </si>
  <si>
    <t>zakup 2 szt samochodów ratowniczo-gaśniczego dla OSP</t>
  </si>
  <si>
    <t>Budowa chodników przy hali sportowej ZSS nr 3 w Opocznie</t>
  </si>
  <si>
    <t>Przebudowa parkingu i chodników przy ZSS nr 1 w Opocznie</t>
  </si>
  <si>
    <t>PT termomodernizacji Szkoły Podstawowej w Sielcu</t>
  </si>
  <si>
    <t>zakup serwera wraz z urządzeniami zabezpieczającymi</t>
  </si>
  <si>
    <t>Rehabilitacja zawodowa i społeczna osób 
niepełnosprawnych</t>
  </si>
  <si>
    <t xml:space="preserve">Rozbudowa ośrodka rehabilitacyjnego dla dzieci niepełnosprawnych w budyku komunalnym pl.Kościuszki 15 </t>
  </si>
  <si>
    <t>Przebudowa linii 15kV na osiedlu Milenijnym w Opocznie</t>
  </si>
  <si>
    <t>Załącznik nr 9
do Uchwały Nr XXIII/ 230 /08
Rady Miejskiej w Opocznie</t>
  </si>
  <si>
    <t>Załącznik Nr 7
do Uchwały Nr XXIII/230 /08
Rady Miejskiej w Opocznie
z dnia 19 grudnia 2008 r.</t>
  </si>
  <si>
    <t>Załącznik nr 10
do Uchwały Nr XXIII/ 230 /08
Rady Miejskiej w Opocznie
z dnia 19 grudnia 2008 r.</t>
  </si>
  <si>
    <t>Załącznik nr 8
do Uchwały Nr XXIII/230/08
Rady Miejskiej w Opocznie
z dnia 19 grudnia 2008 r.</t>
  </si>
  <si>
    <t>Załacznik Nr 6
do Uchwały XXIII/230/08
Rady Miejskiej w Opocznie 
z dnia 19 grudnia 2008 r.</t>
  </si>
  <si>
    <t>Załącznik Nr 5a
do Uchwały Nr XXIII/230/08
Rady Miejskiej w Opocznie
z dnia 19 grudnia 2008 r.</t>
  </si>
  <si>
    <t>Załącznik nr 5
do Uchwały Nr XXIII/230/08
Rady Miejskiej w Opocznie
z dnia 19 grudnnia 2008 r.</t>
  </si>
  <si>
    <t>Załącznik Nr 4
do Uchwały Nr XXIII/230/08
Rady Miejskiej w Opocznie
z dnia 19 grudnia 2008 r.</t>
  </si>
  <si>
    <t>Załącznik Nr 1
do Uchwały Nr XXIII/230/08
Rady Miejskiej w Opocznie
z dnia 19 grudnia 2008 r.</t>
  </si>
  <si>
    <t>Załącznik Nr 2
do Uchwały Nr XXIII/230/08
Rady Miejskiej w Opocznie
z dnia 19 grudnia 2008r.</t>
  </si>
  <si>
    <t>Załącznik Nr 3
do Uchwały Nr XXIII/230/08
Rady Miejskiej w Opocznie 
z dnia 19 grudnia 2008 r.</t>
  </si>
  <si>
    <t>Oświetlenie uliczne ul. Konopnickiej - Norwida dł. 150m + PT</t>
  </si>
  <si>
    <t>PT oświetlenia ulicznego ul.Kopernika do ul.Westerplatte</t>
  </si>
  <si>
    <t xml:space="preserve">PT budowy garaży na os. Wyszyńskiego (300 szt.) </t>
  </si>
  <si>
    <t>Budowa pomnika "Wdzięczności" - PT</t>
  </si>
  <si>
    <t xml:space="preserve">Budowa sieci cieplnej dł. 100 mb do budynków przy ul.Kołomurnej </t>
  </si>
  <si>
    <t xml:space="preserve">Przebudowa świetlicy w m. Kliny </t>
  </si>
  <si>
    <t>WIELOLETNI    PROGRAM    INWESTYCYJNY na lata 2009-2014 przy udziale  środków UE</t>
  </si>
  <si>
    <t>2007-2014</t>
  </si>
  <si>
    <t>PT w 2009r-240.000</t>
  </si>
  <si>
    <t>Budowa dróg osiedla Milenijnego z oświetleniem 
ulicznym - dł 9 km, ul.Rolna-dł 545 mb + PT</t>
  </si>
  <si>
    <t>2011-2014</t>
  </si>
  <si>
    <t>PT w 2011r-1.000.000</t>
  </si>
  <si>
    <t>2008-2010</t>
  </si>
  <si>
    <t>2008-2011</t>
  </si>
  <si>
    <t>PT w 2009r-19.000</t>
  </si>
  <si>
    <t>2009-2010</t>
  </si>
  <si>
    <t>Modernizacja dróg ul.Graniczna, Kolbego, Słoneczna, Jana Pawła II (od ul.Inowłodzkiej do ul.Partyzantów), Staszica, Kolejowa, dł. 3000 mb + PT</t>
  </si>
  <si>
    <t>PT w 2010r-406.000</t>
  </si>
  <si>
    <t>PT w 2009 r 100.000</t>
  </si>
  <si>
    <t>2008-2012</t>
  </si>
  <si>
    <t>PT w 2009 r 330.000</t>
  </si>
  <si>
    <t>PT -2009 r.120.000</t>
  </si>
  <si>
    <t xml:space="preserve">
2008-2010</t>
  </si>
  <si>
    <t>zadanie współfinansowane 
ze środków UE, PT 2009-155.000,-</t>
  </si>
  <si>
    <t xml:space="preserve">zadanie współfinansowane 
ze środków UE 
PT 2009r-80.000,- 
 2010r-65.000,- </t>
  </si>
  <si>
    <t xml:space="preserve">zadanie współfinansowane 
ze środków UE 
PT 2009r-60.000,- </t>
  </si>
  <si>
    <t>zadanie współfinansowane 
ze środków UE</t>
  </si>
  <si>
    <t>2006-2012</t>
  </si>
  <si>
    <t>2007-2012</t>
  </si>
  <si>
    <t>2012-2013</t>
  </si>
  <si>
    <t>2013-2014</t>
  </si>
  <si>
    <t xml:space="preserve">wkład własny </t>
  </si>
  <si>
    <t>środki UE</t>
  </si>
  <si>
    <t>Budowa zakladu unieszkodliwiania odpadów w Różannie oraz zamknięcia i rekultywacji skłądowiska w Różannie. Wniosek aplikacyjny, nadzór budowlany, obsługa finansowa projektu</t>
  </si>
  <si>
    <t xml:space="preserve">Zadanie współfinansowane ze środków UE 
wniosek aplikacyjny, 
2011 umorzenie WFOŚiGW 134.932,50,- </t>
  </si>
  <si>
    <t>Renowacja i odbudowa Zalewu w Opocznie, pow. 6,15 ha, poj. 88,230 m3 z modernizacją jazu, studium wykonalności, wniosek aplikacyjny, dokumentacja przetargowa, nadzór inwestycyjny, promocja, obsługa finansowa projektu</t>
  </si>
  <si>
    <t>Budowa placów zabaw przy ul.Partyzantów 38b, M.C.Skłodowskiej, Kossaka 16, Norwida 1a, Al..Dąbrówki, Rolnej + PT</t>
  </si>
  <si>
    <t>Rewitalizacja miasta Opoczna + dokumentacja techniczna</t>
  </si>
  <si>
    <t>2008-2014</t>
  </si>
  <si>
    <t xml:space="preserve">zadanie współfinansowane 
ze środków UE 
PT 2010-500.000 </t>
  </si>
  <si>
    <t>Rozbudowa budynku świetlicy wiejskiej w Stużnie</t>
  </si>
  <si>
    <t>Plan odnowy miejscowości wniosek aplikacyjny, nadzór inwestorki, promocja, obsługa finansowa</t>
  </si>
  <si>
    <t>Przebudowa Patio wraz z termomodernizacją MDK 
w Opocznie, wniosek aplikacyjny</t>
  </si>
  <si>
    <t>PT  2009r.</t>
  </si>
  <si>
    <t>Budowa zespołu rekreacyjno-sportowego przy 
Krytej Pływalni w Opocznie (siłownia, kręgielnia, bieżnia 60m, skok w dal, pchęcie kulą)</t>
  </si>
  <si>
    <t xml:space="preserve">WIELOLETNI    PROGRAM    INWESTYCYJNY na lata 2009 - 2011    </t>
  </si>
  <si>
    <t>1. Budowa włączenia ul. Długiej w ul. Przemysłową dł. 200mb</t>
  </si>
  <si>
    <t xml:space="preserve">2. Budowa ul. prostopadłej do ul. Szkolnej </t>
  </si>
  <si>
    <t>3. Połączenie ulic Sienkiewicza z Armii Krajowej wraz z miejscami parkingowymi przy ul.Armii Krajowej</t>
  </si>
  <si>
    <t xml:space="preserve">4.Budowa zatoki autobusowej w m.Bielowice przy Szkole Podstawowej </t>
  </si>
  <si>
    <t xml:space="preserve">5.Budowa ulic:Plonowa, Zielna, Żytnia, dł. 1060 mb + decyzja lokalizacji dróg - 3.000zł., PT 69.000 zł.  </t>
  </si>
  <si>
    <t>6. Modernizacja drogi w m.Różanna dł 935 mb wraz z odwodnieniem dł. 1315mb</t>
  </si>
  <si>
    <t>7.Budowa chodnika ul. Partyzantów od ul.Westerplatte do cmentarza przy ul.Granicznej dł. 500 m</t>
  </si>
  <si>
    <t>8.PT chodnika od ul.Małachowskiego do ul.Leśnej dł 60mb</t>
  </si>
  <si>
    <t>1.wykup gruntów</t>
  </si>
  <si>
    <t>edukacja ekologiczna</t>
  </si>
  <si>
    <t>z dnia 19 grudnia 2008 r.</t>
  </si>
  <si>
    <t>2.zakup 2 szt samochodów ratowniczo-gaśniczego dla OSP</t>
  </si>
  <si>
    <t>1.Budowa chodników przy hali sportowej ZSS nr 3 w Opocznie</t>
  </si>
  <si>
    <t>2.Przebudowa parkingu i chodników przy ZSS nr 1 w Opocznie</t>
  </si>
  <si>
    <t>3.PT termomodernizacji Szkoły Podstwowej w Sielcu</t>
  </si>
  <si>
    <t>1. Przebudowa linii 15kV na osiedlu Milenijnym w Opocznie</t>
  </si>
  <si>
    <t xml:space="preserve">2.Budowa oświetlenia ulicznego w m.Wola Załężna dł.1000 mb </t>
  </si>
  <si>
    <t>3.Oswietlenie uliczne ul.Konopnickiej-Norwida dł.150 mb + PT</t>
  </si>
  <si>
    <t>4.PT oświetlenia ulicznego ul.Kopernika do ul.Westerplatte dł.120 mb</t>
  </si>
  <si>
    <t xml:space="preserve">1. PT budowy garaży na os. Wyszyńskiego (300 szt. ) </t>
  </si>
  <si>
    <t>2.Budowa pomnika "Wdzięczności" - PT</t>
  </si>
  <si>
    <t xml:space="preserve">3.Budowa sieci cieplnej dł. 100 mb do budynków przy ul.Kołomurnej </t>
  </si>
  <si>
    <t>Zadania w zakresie kultury fizycznej 
i sportu</t>
  </si>
  <si>
    <t>Budowa szatni przy boiskach sportowych w Woli Załężnej i Bielowicach - PT</t>
  </si>
  <si>
    <t>Budowa Sali sportowej z zapleczem przy Szkole Podstawowej w Bielowicach gm.Opoczno, z dokończeniem budowy ogrodzenia szkoły</t>
  </si>
  <si>
    <t>Przychody i rozchody budżetu w 2009 r.</t>
  </si>
  <si>
    <t>wykonanie gminnego programu Usuwania Azbestu</t>
  </si>
  <si>
    <t>Sprawozdanie zrealizacji Gminnego Programu Usuwania 
Azbestu</t>
  </si>
  <si>
    <t>2009-2009</t>
  </si>
  <si>
    <t>PLAN DOTACJI NA ROK 2009</t>
  </si>
  <si>
    <t>prowadzenie Środkowiskowego Domu Samopomocy 
dla osób z zaburzeniami psychicznymi</t>
  </si>
  <si>
    <t>Ochrona przeciwoożarowa w gminie Opoczno</t>
  </si>
  <si>
    <t>dotacje rozwojowe oraz środki na finansowanie Wspólnej Polityki Rolnej</t>
  </si>
  <si>
    <t>razem spłata pożyczek</t>
  </si>
  <si>
    <t>Nr pożyczki</t>
  </si>
  <si>
    <t>42/OW/P/2008</t>
  </si>
  <si>
    <t>41/OW/P/2008</t>
  </si>
  <si>
    <t>133/BN/P/2007</t>
  </si>
  <si>
    <t>7/GW/P/2005</t>
  </si>
  <si>
    <t>228/OW/P/2005</t>
  </si>
  <si>
    <t>077/OW/P/2006</t>
  </si>
  <si>
    <t>080/OW/P/2006</t>
  </si>
  <si>
    <t>153/OA/P/2006</t>
  </si>
  <si>
    <t>233/OW/P/2005</t>
  </si>
  <si>
    <t>Bank Spółdzielczy Ziemi Piotrkowskiej - Kredyt na pokrycie deficytu 
roku 2006</t>
  </si>
  <si>
    <t>82/I/2006</t>
  </si>
  <si>
    <t>Razem spłata pożyczek i kredytu</t>
  </si>
  <si>
    <t>ROZCHODY ZWIĄZANE ZE SPŁATĄ POŻYCZEK I KREDYTÓW</t>
  </si>
  <si>
    <t>edukacja ekologiczna - konkursy</t>
  </si>
  <si>
    <t>edukacja ekologiczna - szkolenia</t>
  </si>
  <si>
    <t>edukacja ekologiczna - konkursy (nagrody)</t>
  </si>
  <si>
    <t>Plan na 
2009 r.</t>
  </si>
  <si>
    <t xml:space="preserve">dział </t>
  </si>
  <si>
    <t>rozdz.</t>
  </si>
  <si>
    <t>treść</t>
  </si>
  <si>
    <t>Pozostała działalność</t>
  </si>
  <si>
    <t>GOSPODARKA MIESZKANIOWA</t>
  </si>
  <si>
    <t>OŚWIATA I WYCHOWANIE</t>
  </si>
  <si>
    <t>Gimnazja</t>
  </si>
  <si>
    <t>OCHRONA ZDROWIA</t>
  </si>
  <si>
    <t>Żłobki</t>
  </si>
  <si>
    <t>Dodatki mieszkaniowe</t>
  </si>
  <si>
    <t xml:space="preserve"> </t>
  </si>
  <si>
    <t>Obrona cywilna</t>
  </si>
  <si>
    <t>RÓŻNE ROZLICZENIA</t>
  </si>
  <si>
    <t>OGÓŁEM</t>
  </si>
  <si>
    <t>KULTURA FIZYCZNA I SPORT</t>
  </si>
  <si>
    <t>w tym:
wydatki bieżące</t>
  </si>
  <si>
    <t>Drogi publiczne gminne</t>
  </si>
  <si>
    <t>Ochotnicze straże pożarne</t>
  </si>
  <si>
    <t>Biblioteki</t>
  </si>
  <si>
    <t>Przeciwdziałanie alkoholizmowi</t>
  </si>
  <si>
    <t>ogółem</t>
  </si>
  <si>
    <t>dotacje</t>
  </si>
  <si>
    <t>dział</t>
  </si>
  <si>
    <t xml:space="preserve">ogółem </t>
  </si>
  <si>
    <t>w tym:
wynagr.i
pochodne</t>
  </si>
  <si>
    <t>wyd.inwest.</t>
  </si>
  <si>
    <t>Modernizacja układu komuniakcyjnego miasta 
Opoczno - I etap dla ulic: Kwiatowa, Norwida-Konopnickiej, Hubala, Chopina, Starzyńskiego, Kopernika, Skalna, Liliowa, Narcyzowa, Krokusowa, Różana, w tym:</t>
  </si>
  <si>
    <t>TRANSPORT I ŁĄCZNOŚĆ</t>
  </si>
  <si>
    <t>ROLNICTWO i ŁOWIECTWO</t>
  </si>
  <si>
    <t>ADMINISTRACJA PUBLICZNA</t>
  </si>
  <si>
    <t>Urzędy gmin (miast i miast na prawach powiatu)</t>
  </si>
  <si>
    <t>URZĘDY NACELNYCH ORGANÓW WŁADZY
PAŃSTWOWEJ, KONTROLI I OCHRONY PRAWA ORAZ SĄDOWNICTWA</t>
  </si>
  <si>
    <t>Różne rozliczenia finansowe</t>
  </si>
  <si>
    <t>Szkoły podstawowe</t>
  </si>
  <si>
    <t>Licea ogólnokształcące</t>
  </si>
  <si>
    <t>Ośrodki pomocy społecznej</t>
  </si>
  <si>
    <t>EDUKACYJNA OPIEKA WYCHOWAWCZA</t>
  </si>
  <si>
    <t>ROLNICTWO I ŁOWIECTWO</t>
  </si>
  <si>
    <t>Lokalny transport zbiorczy</t>
  </si>
  <si>
    <t>DZIAŁALNOŚĆ USŁUGOWA</t>
  </si>
  <si>
    <t>Rady gmin (miast i miast na prawach 
powiatu)</t>
  </si>
  <si>
    <t>URZĘDY NACZELNYCH ORGANÓW
WŁADZY PAŃSTWOWEJ, KONTROLI I OCHRONY PRAWA 
ORAZ SĄDOWNICTWA</t>
  </si>
  <si>
    <t>BEZPIECZEŃSTWO PUBLICZNE I 
OCHRONA PRZECIWPOŻAROWA</t>
  </si>
  <si>
    <t>OBSŁUGA DŁUGU PUBLICZNEGO</t>
  </si>
  <si>
    <t>Rezerwy ogólne i celowe</t>
  </si>
  <si>
    <t xml:space="preserve">OŚWIATA I WYCHOWANIE </t>
  </si>
  <si>
    <t>Oczyszczanie miast i wsi</t>
  </si>
  <si>
    <t xml:space="preserve">Oświetlenie ulic, placów i dróg </t>
  </si>
  <si>
    <t xml:space="preserve">KULTURA I OCHRONA DZIEDZICTWA
NARODOWEGO </t>
  </si>
  <si>
    <t>Domy i ośrodki kultury, świetlice i kluby</t>
  </si>
  <si>
    <t>Muzea</t>
  </si>
  <si>
    <t xml:space="preserve">          </t>
  </si>
  <si>
    <t>Gospodarka gruntami i nieruchomościami</t>
  </si>
  <si>
    <t>Utrzymanie zieleni w miastach i gminach</t>
  </si>
  <si>
    <t>Urzędy Wojewódzkie</t>
  </si>
  <si>
    <t>Urzędy wojewódzkie</t>
  </si>
  <si>
    <t>Pomoc materialna dla uczniów</t>
  </si>
  <si>
    <t>wpływy z usług</t>
  </si>
  <si>
    <t>wpływy z różnych dochodów</t>
  </si>
  <si>
    <t>wpływy z róznych opłat</t>
  </si>
  <si>
    <t>Wpływy z różnych rozliczeń</t>
  </si>
  <si>
    <t>podatek dochodowy od osób fizycznych</t>
  </si>
  <si>
    <t>subwencje ogólne z budżetu państwa</t>
  </si>
  <si>
    <t>Część oświatowa subwencji ogólnej dla jednostek samorządu terytorialnego</t>
  </si>
  <si>
    <t>w tym:</t>
  </si>
  <si>
    <t xml:space="preserve">w tym:wydatki bieżące
                   </t>
  </si>
  <si>
    <t>Urzędy naczelnych organów władzy
państwowej, kontroli i ochrony prawa</t>
  </si>
  <si>
    <t>Infrastruktura wodociągowa i sanitacyjna wsi</t>
  </si>
  <si>
    <t>Plany zagospodarowania przestrzennego</t>
  </si>
  <si>
    <t>Rozliczenie między jednostkami samorządu terytorialnego</t>
  </si>
  <si>
    <t>Zadania w zakresie kultury fizycznej i sportu</t>
  </si>
  <si>
    <t>wydatki
 inwest.</t>
  </si>
  <si>
    <t>wynagr
i poch.</t>
  </si>
  <si>
    <t>Gospodarka ściekowa i ochrona wód</t>
  </si>
  <si>
    <t>pozostałe odsetki</t>
  </si>
  <si>
    <t>par.</t>
  </si>
  <si>
    <t>Straż Miejska</t>
  </si>
  <si>
    <t>Udziały gmin w podatkach stanowiących dochód budżetu państwa</t>
  </si>
  <si>
    <t>Razem</t>
  </si>
  <si>
    <t>wpływy z różnych opłat</t>
  </si>
  <si>
    <t>podatek od czynności cywilnoprawnych</t>
  </si>
  <si>
    <t>podatek dochodowy od osób prawnych</t>
  </si>
  <si>
    <t>dywidendy i kwoty uzyskane ze zbycia praw majątkowych</t>
  </si>
  <si>
    <t>wyd.mająt.</t>
  </si>
  <si>
    <t>spłata pożyczek i kredytów</t>
  </si>
  <si>
    <t>Pobór podatków, opłat i niepodatkowych 
należności budżetowych</t>
  </si>
  <si>
    <t>Szkoły zawodowe</t>
  </si>
  <si>
    <t>Cmentarze</t>
  </si>
  <si>
    <t>Modernizacja układu komuniakcyjnego miasta 
Opoczno - II etap</t>
  </si>
  <si>
    <t>Modernizacja dróg osiedla Kolejowego, Towarowa (skrzyżowanie z ul.Kolejową do ul.Kuligowskiej z odwodnieniem) dł. 1580 mb + PT</t>
  </si>
  <si>
    <t>Modernizacja dróg Osiedla Ustronie I etap-ulice: Lipowa, Klonowa, Wierzbowa, Tujowa, Jodłowa, Wiązowa, Morwowa, Orzechowa, Modrzewiowa, Grabowa dł.3027 mb wraz z kanalizacją deszczową dł.2328 mb</t>
  </si>
  <si>
    <t xml:space="preserve"> - ul. Kwiatowa dł.674mb z oświetleniem ulicznym</t>
  </si>
  <si>
    <t xml:space="preserve"> - ul.Norwida-Konopnickiej dł.948 mb</t>
  </si>
  <si>
    <t xml:space="preserve"> - ul.Kopernika dł 290 mb</t>
  </si>
  <si>
    <t xml:space="preserve"> - ul.Skalna dł. 400 mb</t>
  </si>
  <si>
    <t xml:space="preserve"> - ul.:Liliowa, Narcyzowa, Krokusowa, Różana, dł.656 mb</t>
  </si>
  <si>
    <t>studium wykonalności, wniosek aplikacyjny, nadzór inwestorski, zarządzanie projektem, wnioski o płatność, promocja dla projektu "Modernizacja układu komunikacyjnego miasta Opoczno - I etap"</t>
  </si>
  <si>
    <t>Budowa północno-zachodniej obwodnicy miasta Opoczno dla dróg: krajowej nr 12, wojewódzkiej nr 726 w ciągach ulic: Przemysłowej nr 3133E i Świerkowej Nr 3132E</t>
  </si>
  <si>
    <t>Budowa kanalizacji sanitarnej zlewnia Opoczno+PT</t>
  </si>
  <si>
    <t>Budowa kanalizacji sanitarnej zlewnia Kliny+PT</t>
  </si>
  <si>
    <t>Budowa kanalizacji sanitarnej - zlewnia Mroczków. Dł. Sieci 21.151m, przyłącza, oczyszczalnia +PT</t>
  </si>
  <si>
    <t>Budowa kanalizacji sanitarnej. Zlewnia Antoniów + PT dł. Sieci 20.772m, przyłącza, oczyszczalnia</t>
  </si>
  <si>
    <t>Budowa kanalizacji sanitarnej. Zlewnia Bielowice + PT dł. Sieci 24.118m, przyłącza, oczyszczalnia</t>
  </si>
  <si>
    <t>Budowa kanalizacji sanitarnej Zlewnia Kruszewiec + PT dł. Sieci 8.890m, przyłącza, oczyszczalnia</t>
  </si>
  <si>
    <t>Modernizacja układu komunikacyjnego miasta Opoczno - II etap</t>
  </si>
  <si>
    <t>Modernizacja dróg osiedla Kolejowego, Towarowa (skrzyżowanie z ul.Kolejową do ul Kuligowskiej z odwodnieniem) dł.1000 mb (PT 19.000,- skrzyżowanie Towarowej i Kolejowej)</t>
  </si>
  <si>
    <t xml:space="preserve"> -ul Hubala, Chopina, Stażyńskiego dł.1100mb </t>
  </si>
  <si>
    <t>Budowa ul. Nowa, Żesławskiego dł.457 mb</t>
  </si>
  <si>
    <t>Budowa ulic Oś. Piastowkie: Al.Dąbrówki, W.Łokietka, Mieszka I, B.Chrobrego, B.Krzywoustego dł.912 mb wraz z kanalizacją deszczową dł. 305 mb</t>
  </si>
  <si>
    <t>Modernizacja ulicy Towarowej dł.200 mb</t>
  </si>
  <si>
    <t>9.</t>
  </si>
  <si>
    <t>"Moje boisko-Orlik 2012"-przy ul.Kosaka 16 w Opocznie + PT</t>
  </si>
  <si>
    <t>9.Budowa ul. Nowa, Żesławskiego dł.457 mb</t>
  </si>
  <si>
    <t>10.Budowa ulic Oś. Piastowkie: Al.Dąbrówki, W.Łokietka, Mieszka I, B.Chrobrego, B.Krzywoustego dł.912 mb wraz z kanalizacją deszczową dł. 305 mb</t>
  </si>
  <si>
    <t>11.Modernizacja ulicy Towarowej dł.200 mb</t>
  </si>
  <si>
    <t>wpływy z tytułu przekształcenia prawa użytkowania
wieczystego przysługującego osobom fizycznym
w prawo własności</t>
  </si>
  <si>
    <t>Izby Rolnicze</t>
  </si>
  <si>
    <t>inne wyd.
majątk</t>
  </si>
  <si>
    <t>wydatki na 
obsł długu</t>
  </si>
  <si>
    <t>POMOC SPOŁECZNA</t>
  </si>
  <si>
    <t>Przedszkola</t>
  </si>
  <si>
    <t>Urzędy naczelnych organów władzy państwowej kontroli i ochrony prawa</t>
  </si>
  <si>
    <t>wpływy z opłaty skarbowej.</t>
  </si>
  <si>
    <t>POZOSTAŁE ZADANIA W ZAKRESIE POLITYKI SPOŁECZNEJ</t>
  </si>
  <si>
    <t>Pozostała dzialalność</t>
  </si>
  <si>
    <t>wpływy z opłaty eksploatacyjnej</t>
  </si>
  <si>
    <t>Rozliczenia z tytułu poręczeń i gwarancji udzielonych przez Skarb Państwa lub jednostkę samorządu terytorialnego</t>
  </si>
  <si>
    <t>Pozostała działaność</t>
  </si>
  <si>
    <t>Wpływy z podatku rolnego, podatku leśnego, podatku od czynności cywilnoprawnych, podatków i opłat lokalnych od osób prawnych i innych jednostek organizacyjnych</t>
  </si>
  <si>
    <t>Wpływy z podatku rolnego, podatku leśnego, podatku od sadków i darowizn, podatku od czynności cywilnoprawnych oraz podatków i opłat lokalnych od osób fizycznych</t>
  </si>
  <si>
    <t>wpływy z opłat za zarząd,użytkowanie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</si>
  <si>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</si>
  <si>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zad.bieżące realizowane przez gminę na podstawie porozumień z organanmi administracji rządowej</t>
  </si>
  <si>
    <t>dochody jednostek samorzadu terytorialnego związane z realizacją zadań z zakresu administracji rządowej oraz innych zadań zleconych ustawami</t>
  </si>
  <si>
    <t>grzywny, mandaty i inne kary pieniężne od ludności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</si>
  <si>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</si>
  <si>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</si>
  <si>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</si>
  <si>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</si>
  <si>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</si>
  <si>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</si>
  <si>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dotacje celowe otrzymane z budżetu państwa na realizację własnych zadań bieżących gmin (zwiąków gmin)</t>
  </si>
  <si>
    <t>dotacje celowe otrzymane z gminy na zadania bieżące realizowane na podstawie porozumień (umów) między jednostkami samorządu terytorialnego</t>
  </si>
  <si>
    <t>Usuwanie skutków klęsk zywiołowych</t>
  </si>
  <si>
    <t>wpływy z opłat za zezwolenia na sprzedaż alkoholu</t>
  </si>
  <si>
    <t>RAZEM</t>
  </si>
  <si>
    <t>wpływy ze sprzedaży składników majątkowych</t>
  </si>
  <si>
    <t>wyd.bieżące</t>
  </si>
  <si>
    <t>DOCHODY OD OSÓB PRAWNYCH, OD OSÓB FIZYCZNYCH I OD INNYCH JEDNOSTEK NIE POSIADAJĄCYCH OSOBOWOŚCI PRAWNEJ ORAZ WYDATKI ZWIĄZANE Z ICH POBOREM</t>
  </si>
  <si>
    <t>Oddziały przedszkolne w szkołach podstawowych</t>
  </si>
  <si>
    <t>Dokształcanie i doskonalenie nauczycieli</t>
  </si>
  <si>
    <t>Zasiłki i pomoc w naturze oraz składki na ubezpieczenie emerytalne i rentowe</t>
  </si>
  <si>
    <t>Rehabilitacja zawodowa i społeczna osób
niepełnosprawnych</t>
  </si>
  <si>
    <t>Ośrodki wsparcia</t>
  </si>
  <si>
    <t>Część równoważąca subwencji ogólnej</t>
  </si>
  <si>
    <t>Zespoły obsługi ekonomiczno-administracyjnej szkół</t>
  </si>
  <si>
    <t>Zasiłki i pomoc w naturze oraz składki na ubezpieczenia emerytalne i rentowe</t>
  </si>
  <si>
    <t xml:space="preserve">Zasiłki i pomoc w naturze oraz składki na ubezpieczenia emerytalne i rentowe </t>
  </si>
  <si>
    <t>otrzymane spadki,zapisy i darowizny w postaci pieniężnej</t>
  </si>
  <si>
    <t>odsetki od nieterminowych wpłat z tytułu podatków i opłat</t>
  </si>
  <si>
    <t>dotacje celowe z otrzymane z budżetu państwa na realizację zadań bieżących z zakresu administracji rzadowej oraz innych zadań zleconych gminie (związkom gmin) ustawami</t>
  </si>
  <si>
    <t xml:space="preserve">Wpływy z podatku dochodowego od osób fizycznych </t>
  </si>
  <si>
    <t>podatek od działalności gospodarczej osób fizycznych, opłacany w formie karty podatkowej</t>
  </si>
  <si>
    <t>Wpływy z innych opłat stanowiących dochody jednostek samorządu terytorialnego na podstawie ustaw</t>
  </si>
  <si>
    <t>Rozliczenia między jednostkami samorządu terytorialnego</t>
  </si>
  <si>
    <t>GOSPODARKA KOMUNALNA I OCHRONA ŚRODOWISKA</t>
  </si>
  <si>
    <t xml:space="preserve">Dotacja WFOSiGW 4.723.000,- w zakresie retencji zadanie współfinansowane 
ze środków UE w zakresie rekreacji </t>
  </si>
  <si>
    <t>Wyszczególnienie</t>
  </si>
  <si>
    <t>Lp.</t>
  </si>
  <si>
    <t>Planowane wydatki</t>
  </si>
  <si>
    <t>x</t>
  </si>
  <si>
    <t xml:space="preserve">  </t>
  </si>
  <si>
    <t>Promocja jednostek samorządu terytorialnego</t>
  </si>
  <si>
    <t>rozdział</t>
  </si>
  <si>
    <t>kwota</t>
  </si>
  <si>
    <t>lp</t>
  </si>
  <si>
    <t xml:space="preserve">rozdział </t>
  </si>
  <si>
    <t>Miejski Dom Kultury</t>
  </si>
  <si>
    <t>Powiatowa i Miejska Biblioteka Publiczna</t>
  </si>
  <si>
    <t>Muzeum</t>
  </si>
  <si>
    <t>Kryta pływalnia "Opoczyńska Fala"</t>
  </si>
  <si>
    <t>Rehabilitacja zawodowa i społeczna osób 
niepełnosprawnch</t>
  </si>
  <si>
    <t>Zadania z zakresu kultury fizycznej i sportu</t>
  </si>
  <si>
    <t>OGÓŁEM PLAN DOTACJI</t>
  </si>
  <si>
    <t>Plan dochodów związanych z realizacją zadań z zakresu
administracji rządowej oraz innych zleconych ustawami</t>
  </si>
  <si>
    <t>plan
dochodów</t>
  </si>
  <si>
    <t>Administracja Publiczna</t>
  </si>
  <si>
    <t>dochody budżetu państwa związane z realizacją zadań zleconych jednostkom samorządu terytorialnego- opłaty za wydane dowody osobiste</t>
  </si>
  <si>
    <t>dochody budżetu państwa związane z realizacją zadań zleconych jednostkom samorządu terytorialnego- opłaty za udostępnienie danych osobowych</t>
  </si>
  <si>
    <t>Plan przychodów i wydatków Krytej Pływalni "Opoczyńska Fala"</t>
  </si>
  <si>
    <t>przychody</t>
  </si>
  <si>
    <t>Plan</t>
  </si>
  <si>
    <t>pozostałe przychody</t>
  </si>
  <si>
    <t>dotacja przedmiotowa z budżetu otrzymana przez zakład budżetowy</t>
  </si>
  <si>
    <t>stan środków obrotowych netto na 
początek roku</t>
  </si>
  <si>
    <t>wydatki</t>
  </si>
  <si>
    <t>wynagrodzenia osobowe pracowników i pochodne</t>
  </si>
  <si>
    <t xml:space="preserve">pozostałe wydatki bieżące </t>
  </si>
  <si>
    <t>stan środków obrotowych netto na 
koniec roku</t>
  </si>
  <si>
    <t>środki na dofinansowanie własnych inwestycji gmin (związków gmin), powiatów (związków powiatów), samorządów województw, pozyskane z innych źródeł</t>
  </si>
  <si>
    <t>rekompensaty utraconych dochodów w podatkach i opłatach lokalnych</t>
  </si>
  <si>
    <t>wpływy z innych lokalnych opłat pobieranych przez
jednostki samorządu terytorialnego na podstawie odrębnych ustaw</t>
  </si>
  <si>
    <t>Świadczenie rodzinne,zaliczka alimentacyjna oraz składki na ubezpieczenia emerytalne i rentowe z ubezpieczenia społecznego</t>
  </si>
  <si>
    <t>wpływy ze zwrotów dotacji wykorzystanych niezgodnie z przeznaczeniem lub pobranych w nadmiernej wysokości</t>
  </si>
  <si>
    <t>Wczesne wspomaganie rozwoju dziecka</t>
  </si>
  <si>
    <t>Usuwanie skutków klęsk żywiołowych</t>
  </si>
  <si>
    <t>Świadczenie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</si>
  <si>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</si>
  <si>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Zespoły ekonomiczno-administracyjne szkół</t>
  </si>
  <si>
    <t>Obsługa papierów wartościowych,
kredytów i pożyczek jednostek samorządu
terytorialnego</t>
  </si>
  <si>
    <t xml:space="preserve">Pmoc społeczna </t>
  </si>
  <si>
    <t>dochody budżetu państwa związane z realizacją zadań zleconych jednostkom samorządu terytorialnego</t>
  </si>
  <si>
    <t>Zakłady budżetowe - dot.przedmiotowa</t>
  </si>
  <si>
    <t>Publiczne Szkoły Prywatne - dot.podmiotowa</t>
  </si>
  <si>
    <t>Instytucje Kultury - dotacja podmiotowa</t>
  </si>
  <si>
    <t>Zwalczanie narkomanii</t>
  </si>
  <si>
    <t>Nazwa projektu - zadanie inwestycyjne</t>
  </si>
  <si>
    <t xml:space="preserve">Okres realizacji </t>
  </si>
  <si>
    <t xml:space="preserve">Łączne nakłady </t>
  </si>
  <si>
    <t>Nakłady poniesione</t>
  </si>
  <si>
    <t xml:space="preserve">Nakłady do poniesienia </t>
  </si>
  <si>
    <t xml:space="preserve">Uwagi </t>
  </si>
  <si>
    <t xml:space="preserve"> Wieloletni Program Inwestycyjny </t>
  </si>
  <si>
    <t>BEZPIECZEŃSTWO PUBLICZNE I OCHRONA PRZECIWPOŻAROWA</t>
  </si>
  <si>
    <t>2005-2009</t>
  </si>
  <si>
    <t>Szkoły Podstawowe</t>
  </si>
  <si>
    <t xml:space="preserve">GOSPODARKA KOMUNALNA I I OCHRONA ŚRODOWISKA </t>
  </si>
  <si>
    <t>PLAN DOTACJI CELOWYCH NA ZADANIA REALIZOWANE PRZEZ PODMIOTY ZALICZANE I NIEZALICZANE DO PODMIOTÓW SEKTORA FINANSÓW PUBLICZNYCH</t>
  </si>
  <si>
    <t>plan 2008</t>
  </si>
  <si>
    <t>grzywny i inne kary pienięzne od osób prawnych i innych 
jednostek organizacyjnych</t>
  </si>
  <si>
    <t>Wybory do Sejmu i Senatu</t>
  </si>
  <si>
    <t>Część wyrównawcza subwencji ogólnej dla gmin</t>
  </si>
  <si>
    <t>Komendy Powiatowe Policji</t>
  </si>
  <si>
    <t>Stołówki szkolne</t>
  </si>
  <si>
    <t>dochody majątkowe</t>
  </si>
  <si>
    <t xml:space="preserve">
zadania zlecone</t>
  </si>
  <si>
    <t>odsetki od dotacji wykorzystanych niezgodnie z przeznaczeniem lub pobranych w nadmiernej wysokości</t>
  </si>
  <si>
    <t>w złotych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</si>
  <si>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</si>
  <si>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</si>
  <si>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</si>
  <si>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</si>
  <si>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</si>
  <si>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</si>
  <si>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</si>
  <si>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</si>
  <si>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</si>
  <si>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</si>
  <si>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</si>
  <si>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</si>
  <si>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</si>
  <si>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</si>
  <si>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</si>
  <si>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</si>
  <si>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</si>
  <si>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</si>
  <si>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</si>
  <si>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</si>
  <si>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</si>
  <si>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</si>
  <si>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</si>
  <si>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</si>
  <si>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</si>
  <si>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</si>
  <si>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</si>
  <si>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</si>
  <si>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</si>
  <si>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</si>
  <si>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</si>
  <si>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</si>
  <si>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</si>
  <si>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</si>
  <si>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</si>
  <si>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</si>
  <si>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</si>
  <si>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</si>
  <si>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</si>
  <si>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</si>
  <si>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I.</t>
  </si>
  <si>
    <t>Stan środków obrotowych na początek roku</t>
  </si>
  <si>
    <t>II.</t>
  </si>
  <si>
    <t>Przychody</t>
  </si>
  <si>
    <t xml:space="preserve">wpływy z tytułu opłat </t>
  </si>
  <si>
    <t>grzywny i kary</t>
  </si>
  <si>
    <t>III.</t>
  </si>
  <si>
    <t>Wydatki</t>
  </si>
  <si>
    <t>Wydatki bieżące</t>
  </si>
  <si>
    <t xml:space="preserve">utylizacja wyrobów azbestowych </t>
  </si>
  <si>
    <t>dopłata do segregacji odpadów</t>
  </si>
  <si>
    <t>IV.</t>
  </si>
  <si>
    <t>Stan środków obrotowych na koniec roku</t>
  </si>
  <si>
    <t>PLAN FINANSOWY
Gminnego Funduszu Ochrony Środowiska i Gospodarki Wodnej</t>
  </si>
  <si>
    <t>Dział</t>
  </si>
  <si>
    <t>Rozdz.</t>
  </si>
  <si>
    <t>§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</si>
  <si>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</si>
  <si>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</si>
  <si>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</si>
  <si>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</si>
  <si>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</si>
  <si>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</si>
  <si>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</si>
  <si>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</si>
  <si>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I Projekty współfinansowane ze środków Unii Europejskiej</t>
  </si>
  <si>
    <t>Transport i łączność</t>
  </si>
  <si>
    <t xml:space="preserve">Drogi publiczne gminne </t>
  </si>
  <si>
    <t>Urząd Miejski 
w Opocznie</t>
  </si>
  <si>
    <t>Gospodarka komunalna i ochrona środowiska</t>
  </si>
  <si>
    <t>Urząd Miejski w Opocznie</t>
  </si>
  <si>
    <t>Kultura i ochrona dziedzictwa narodowego</t>
  </si>
  <si>
    <t xml:space="preserve">Budowa świetlic wiejskich w gm Opoczno </t>
  </si>
  <si>
    <t>Kultura fizyczna i sport</t>
  </si>
  <si>
    <t>Budowa biosk sportowych w gminie Opoczno</t>
  </si>
  <si>
    <t>Budowa boiska sportowego w m.Januszewice</t>
  </si>
  <si>
    <t>Studium wykonalności, wniosek aplikacyjny</t>
  </si>
  <si>
    <t>Razem I</t>
  </si>
  <si>
    <t>II Wieloletni program Inwestycyjny</t>
  </si>
  <si>
    <t>Wykup gruntów</t>
  </si>
  <si>
    <t xml:space="preserve">Zakup sprzętu informatycznego  </t>
  </si>
  <si>
    <t>zakup syren centralnego systemu alarmowania CSA w Opocznie</t>
  </si>
  <si>
    <t>Oświetlenie uliczne</t>
  </si>
  <si>
    <t>Razem II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</si>
  <si>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</si>
  <si>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</si>
  <si>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</si>
  <si>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</si>
  <si>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GFOŚiGW</t>
  </si>
  <si>
    <t xml:space="preserve">zadanie współfinansowane 
ze środków UE </t>
  </si>
  <si>
    <t>2007-2010</t>
  </si>
  <si>
    <t>2005-2011</t>
  </si>
  <si>
    <t>studium wykonalności, wniosek aplikacyjny</t>
  </si>
  <si>
    <t>2009-2011</t>
  </si>
  <si>
    <t>Budowa ul.Jana Pawła II (od ul.Partyzantów do 
ul. Przemysłowej) dł.1000 mb + PT</t>
  </si>
  <si>
    <t>2011-2012</t>
  </si>
  <si>
    <t>Modernizacja drogi Brzustówek Kolonia (do drogi w gm.Sławno) dł.1100 mb</t>
  </si>
  <si>
    <t>Modernizacja targowisk miejskich przy ul. Al. Sportowej i ul. Piotrkowskiej w Opocznie wraz z przebudową dróg Al. Sportowa, ul. Wąska, studium wykonalności, wniosek aplikacyjny</t>
  </si>
  <si>
    <t>Budowa świetlica wiejskiej w Modrzewiu</t>
  </si>
  <si>
    <t>Budowa świetlica wiejskiej w Mroczkowie Gościnnym</t>
  </si>
  <si>
    <t>Budowa Domu Ludowego i świetlicy w Kraśnicy</t>
  </si>
  <si>
    <t>Budowa świetlica wiejskiej w Karwicach</t>
  </si>
  <si>
    <t>Budowa boiska sportowego w m. Libiszów</t>
  </si>
  <si>
    <t>Budowa boiska sportowego w m.Sitowa</t>
  </si>
  <si>
    <t>Budowa boiska sportowego w m.Ostrów</t>
  </si>
  <si>
    <t>2008-2009</t>
  </si>
  <si>
    <t>2009-2012</t>
  </si>
  <si>
    <t xml:space="preserve">OGÓŁEM </t>
  </si>
  <si>
    <t>1.zakup syren centralnego systemu alarmowania CSA w Opocznie</t>
  </si>
  <si>
    <t xml:space="preserve"> PLAN DOCHODÓW na 2009 rok</t>
  </si>
  <si>
    <t>plan 2009</t>
  </si>
  <si>
    <t>plan
2008</t>
  </si>
  <si>
    <t>PLAN WYDATKÓW NA ROK 2009</t>
  </si>
  <si>
    <t>dotacje otrzymane z funduszy celowych na realizację zadań bieżących jednostek sektora finansów publicznych</t>
  </si>
  <si>
    <t>zaległości z podatków zniesionych</t>
  </si>
  <si>
    <t>dotacje celowe otrzymane z budżetu państwa na inwestycje i zakupy inwestycyjne z zakresu adminitracji rządowej oraz innych zadań zleconych gminom ustawami</t>
  </si>
  <si>
    <t xml:space="preserve">KULTURA I OCHRONA DZIEDZICTWA NARODOWEGO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</si>
</sst>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00"/>
    <numFmt numFmtId="166" formatCode="00000"/>
    <numFmt numFmtId="167" formatCode="0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sz val="7"/>
      <name val="Arial CE"/>
      <family val="0"/>
    </font>
    <font>
      <sz val="6"/>
      <name val="Arial CE"/>
      <family val="0"/>
    </font>
    <font>
      <b/>
      <sz val="7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844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/>
    </xf>
    <xf numFmtId="165" fontId="5" fillId="0" borderId="12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5" fontId="6" fillId="0" borderId="13" xfId="0" applyNumberFormat="1" applyFont="1" applyFill="1" applyBorder="1" applyAlignment="1">
      <alignment/>
    </xf>
    <xf numFmtId="166" fontId="6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165" fontId="5" fillId="0" borderId="15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8" fillId="0" borderId="14" xfId="0" applyFont="1" applyBorder="1" applyAlignment="1">
      <alignment vertical="top" wrapText="1"/>
    </xf>
    <xf numFmtId="0" fontId="8" fillId="0" borderId="19" xfId="0" applyFont="1" applyBorder="1" applyAlignment="1">
      <alignment wrapText="1"/>
    </xf>
    <xf numFmtId="0" fontId="9" fillId="0" borderId="20" xfId="0" applyFont="1" applyBorder="1" applyAlignment="1">
      <alignment/>
    </xf>
    <xf numFmtId="0" fontId="8" fillId="0" borderId="0" xfId="0" applyFont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5" fontId="5" fillId="0" borderId="13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6" fontId="5" fillId="0" borderId="21" xfId="0" applyNumberFormat="1" applyFont="1" applyBorder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vertical="top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167" fontId="5" fillId="0" borderId="21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28" xfId="0" applyFont="1" applyFill="1" applyBorder="1" applyAlignment="1">
      <alignment wrapText="1"/>
    </xf>
    <xf numFmtId="165" fontId="5" fillId="0" borderId="29" xfId="0" applyNumberFormat="1" applyFont="1" applyBorder="1" applyAlignment="1">
      <alignment/>
    </xf>
    <xf numFmtId="165" fontId="6" fillId="0" borderId="12" xfId="0" applyNumberFormat="1" applyFont="1" applyFill="1" applyBorder="1" applyAlignment="1">
      <alignment horizontal="right"/>
    </xf>
    <xf numFmtId="166" fontId="6" fillId="0" borderId="12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7" fontId="6" fillId="0" borderId="13" xfId="0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0" fontId="8" fillId="0" borderId="13" xfId="0" applyFont="1" applyFill="1" applyBorder="1" applyAlignment="1">
      <alignment wrapText="1"/>
    </xf>
    <xf numFmtId="4" fontId="5" fillId="0" borderId="0" xfId="0" applyNumberFormat="1" applyFont="1" applyAlignment="1">
      <alignment/>
    </xf>
    <xf numFmtId="0" fontId="5" fillId="0" borderId="13" xfId="0" applyFont="1" applyBorder="1" applyAlignment="1">
      <alignment wrapText="1"/>
    </xf>
    <xf numFmtId="3" fontId="6" fillId="0" borderId="27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/>
    </xf>
    <xf numFmtId="3" fontId="8" fillId="0" borderId="12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8" fillId="0" borderId="28" xfId="0" applyFont="1" applyBorder="1" applyAlignment="1">
      <alignment/>
    </xf>
    <xf numFmtId="165" fontId="6" fillId="0" borderId="16" xfId="0" applyNumberFormat="1" applyFont="1" applyFill="1" applyBorder="1" applyAlignment="1">
      <alignment horizontal="right"/>
    </xf>
    <xf numFmtId="166" fontId="6" fillId="0" borderId="17" xfId="0" applyNumberFormat="1" applyFont="1" applyFill="1" applyBorder="1" applyAlignment="1">
      <alignment horizontal="center"/>
    </xf>
    <xf numFmtId="167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5" fontId="6" fillId="0" borderId="32" xfId="0" applyNumberFormat="1" applyFont="1" applyFill="1" applyBorder="1" applyAlignment="1">
      <alignment horizontal="right"/>
    </xf>
    <xf numFmtId="166" fontId="6" fillId="0" borderId="33" xfId="0" applyNumberFormat="1" applyFont="1" applyFill="1" applyBorder="1" applyAlignment="1">
      <alignment horizontal="center"/>
    </xf>
    <xf numFmtId="167" fontId="6" fillId="0" borderId="34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166" fontId="6" fillId="0" borderId="12" xfId="0" applyNumberFormat="1" applyFont="1" applyBorder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167" fontId="5" fillId="0" borderId="21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vertical="center"/>
    </xf>
    <xf numFmtId="166" fontId="6" fillId="0" borderId="12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/>
    </xf>
    <xf numFmtId="3" fontId="8" fillId="0" borderId="12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3" fontId="13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 wrapText="1"/>
    </xf>
    <xf numFmtId="3" fontId="5" fillId="0" borderId="38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3" fontId="6" fillId="0" borderId="40" xfId="0" applyNumberFormat="1" applyFont="1" applyBorder="1" applyAlignment="1">
      <alignment/>
    </xf>
    <xf numFmtId="0" fontId="6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5" fillId="0" borderId="13" xfId="0" applyFont="1" applyBorder="1" applyAlignment="1">
      <alignment vertical="top"/>
    </xf>
    <xf numFmtId="0" fontId="1" fillId="0" borderId="12" xfId="0" applyFont="1" applyBorder="1" applyAlignment="1">
      <alignment/>
    </xf>
    <xf numFmtId="165" fontId="6" fillId="0" borderId="33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/>
    </xf>
    <xf numFmtId="166" fontId="5" fillId="0" borderId="12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167" fontId="5" fillId="0" borderId="13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/>
    </xf>
    <xf numFmtId="166" fontId="6" fillId="0" borderId="17" xfId="0" applyNumberFormat="1" applyFont="1" applyFill="1" applyBorder="1" applyAlignment="1">
      <alignment/>
    </xf>
    <xf numFmtId="167" fontId="5" fillId="0" borderId="20" xfId="0" applyNumberFormat="1" applyFont="1" applyFill="1" applyBorder="1" applyAlignment="1">
      <alignment/>
    </xf>
    <xf numFmtId="166" fontId="6" fillId="0" borderId="13" xfId="0" applyNumberFormat="1" applyFont="1" applyBorder="1" applyAlignment="1">
      <alignment/>
    </xf>
    <xf numFmtId="167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8" fillId="0" borderId="13" xfId="0" applyFont="1" applyBorder="1" applyAlignment="1">
      <alignment wrapText="1"/>
    </xf>
    <xf numFmtId="0" fontId="8" fillId="0" borderId="18" xfId="0" applyFont="1" applyBorder="1" applyAlignment="1">
      <alignment wrapText="1"/>
    </xf>
    <xf numFmtId="166" fontId="5" fillId="0" borderId="12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9" fillId="0" borderId="44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9" fillId="0" borderId="14" xfId="0" applyNumberFormat="1" applyFont="1" applyFill="1" applyBorder="1" applyAlignment="1">
      <alignment wrapText="1"/>
    </xf>
    <xf numFmtId="3" fontId="9" fillId="0" borderId="43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8" fillId="0" borderId="15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8" fillId="0" borderId="48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43" xfId="0" applyNumberFormat="1" applyFont="1" applyBorder="1" applyAlignment="1">
      <alignment wrapText="1"/>
    </xf>
    <xf numFmtId="3" fontId="8" fillId="0" borderId="49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44" xfId="0" applyNumberFormat="1" applyFont="1" applyFill="1" applyBorder="1" applyAlignment="1">
      <alignment wrapText="1"/>
    </xf>
    <xf numFmtId="3" fontId="8" fillId="0" borderId="29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9" fillId="0" borderId="34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1" fillId="0" borderId="13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9" fillId="0" borderId="47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 vertical="center" textRotation="90"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 wrapText="1"/>
    </xf>
    <xf numFmtId="3" fontId="8" fillId="0" borderId="17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wrapText="1"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21" xfId="0" applyFont="1" applyBorder="1" applyAlignment="1">
      <alignment/>
    </xf>
    <xf numFmtId="3" fontId="8" fillId="0" borderId="21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166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3" fontId="5" fillId="0" borderId="2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0" fontId="9" fillId="0" borderId="12" xfId="0" applyFont="1" applyBorder="1" applyAlignment="1">
      <alignment wrapText="1"/>
    </xf>
    <xf numFmtId="4" fontId="8" fillId="0" borderId="43" xfId="0" applyNumberFormat="1" applyFont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9" fillId="0" borderId="16" xfId="0" applyNumberFormat="1" applyFont="1" applyBorder="1" applyAlignment="1">
      <alignment/>
    </xf>
    <xf numFmtId="165" fontId="5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3" fontId="8" fillId="0" borderId="47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50" xfId="0" applyNumberFormat="1" applyFont="1" applyFill="1" applyBorder="1" applyAlignment="1">
      <alignment/>
    </xf>
    <xf numFmtId="3" fontId="8" fillId="0" borderId="51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top"/>
    </xf>
    <xf numFmtId="0" fontId="0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4" fontId="0" fillId="0" borderId="53" xfId="0" applyNumberFormat="1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4" fontId="0" fillId="0" borderId="54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4" fontId="0" fillId="0" borderId="55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45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31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/>
    </xf>
    <xf numFmtId="0" fontId="9" fillId="0" borderId="5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9" fillId="0" borderId="29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right" vertical="center" wrapText="1"/>
    </xf>
    <xf numFmtId="0" fontId="8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3" fontId="9" fillId="0" borderId="27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57" xfId="0" applyFont="1" applyBorder="1" applyAlignment="1">
      <alignment/>
    </xf>
    <xf numFmtId="0" fontId="8" fillId="0" borderId="17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8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21" xfId="0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0" fontId="9" fillId="0" borderId="41" xfId="0" applyFont="1" applyBorder="1" applyAlignment="1">
      <alignment/>
    </xf>
    <xf numFmtId="0" fontId="9" fillId="0" borderId="56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9" fillId="0" borderId="57" xfId="0" applyFont="1" applyBorder="1" applyAlignment="1">
      <alignment/>
    </xf>
    <xf numFmtId="0" fontId="0" fillId="0" borderId="44" xfId="0" applyBorder="1" applyAlignment="1">
      <alignment vertical="center"/>
    </xf>
    <xf numFmtId="3" fontId="9" fillId="0" borderId="12" xfId="0" applyNumberFormat="1" applyFont="1" applyBorder="1" applyAlignment="1">
      <alignment vertical="center" wrapText="1"/>
    </xf>
    <xf numFmtId="0" fontId="9" fillId="0" borderId="37" xfId="0" applyFont="1" applyBorder="1" applyAlignment="1">
      <alignment/>
    </xf>
    <xf numFmtId="0" fontId="8" fillId="0" borderId="37" xfId="0" applyFont="1" applyBorder="1" applyAlignment="1">
      <alignment vertical="center"/>
    </xf>
    <xf numFmtId="0" fontId="9" fillId="0" borderId="37" xfId="0" applyFont="1" applyBorder="1" applyAlignment="1">
      <alignment wrapText="1"/>
    </xf>
    <xf numFmtId="3" fontId="9" fillId="0" borderId="37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5" fillId="0" borderId="12" xfId="0" applyFont="1" applyBorder="1" applyAlignment="1">
      <alignment vertical="center" textRotation="90"/>
    </xf>
    <xf numFmtId="0" fontId="15" fillId="0" borderId="12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/>
    </xf>
    <xf numFmtId="0" fontId="13" fillId="0" borderId="38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/>
    </xf>
    <xf numFmtId="3" fontId="13" fillId="0" borderId="13" xfId="0" applyNumberFormat="1" applyFont="1" applyBorder="1" applyAlignment="1">
      <alignment/>
    </xf>
    <xf numFmtId="0" fontId="14" fillId="0" borderId="12" xfId="0" applyFont="1" applyBorder="1" applyAlignment="1">
      <alignment wrapText="1"/>
    </xf>
    <xf numFmtId="165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wrapText="1"/>
    </xf>
    <xf numFmtId="3" fontId="15" fillId="0" borderId="12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/>
    </xf>
    <xf numFmtId="0" fontId="8" fillId="0" borderId="21" xfId="0" applyFont="1" applyBorder="1" applyAlignment="1">
      <alignment vertical="center" wrapText="1"/>
    </xf>
    <xf numFmtId="3" fontId="8" fillId="0" borderId="21" xfId="0" applyNumberFormat="1" applyFont="1" applyBorder="1" applyAlignment="1">
      <alignment/>
    </xf>
    <xf numFmtId="3" fontId="9" fillId="0" borderId="20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167" fontId="8" fillId="0" borderId="12" xfId="0" applyNumberFormat="1" applyFont="1" applyBorder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3" fontId="6" fillId="0" borderId="21" xfId="0" applyNumberFormat="1" applyFont="1" applyFill="1" applyBorder="1" applyAlignment="1">
      <alignment/>
    </xf>
    <xf numFmtId="166" fontId="9" fillId="0" borderId="12" xfId="0" applyNumberFormat="1" applyFont="1" applyFill="1" applyBorder="1" applyAlignment="1">
      <alignment horizontal="center"/>
    </xf>
    <xf numFmtId="167" fontId="9" fillId="0" borderId="21" xfId="0" applyNumberFormat="1" applyFont="1" applyBorder="1" applyAlignment="1">
      <alignment/>
    </xf>
    <xf numFmtId="3" fontId="5" fillId="0" borderId="58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/>
    </xf>
    <xf numFmtId="165" fontId="8" fillId="0" borderId="12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center"/>
    </xf>
    <xf numFmtId="167" fontId="5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3" fontId="6" fillId="0" borderId="1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8" fillId="0" borderId="23" xfId="0" applyFont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3" fontId="8" fillId="0" borderId="45" xfId="0" applyNumberFormat="1" applyFont="1" applyBorder="1" applyAlignment="1">
      <alignment/>
    </xf>
    <xf numFmtId="165" fontId="6" fillId="0" borderId="15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59" xfId="0" applyFont="1" applyBorder="1" applyAlignment="1">
      <alignment/>
    </xf>
    <xf numFmtId="166" fontId="6" fillId="0" borderId="21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horizontal="center"/>
    </xf>
    <xf numFmtId="167" fontId="5" fillId="0" borderId="15" xfId="0" applyNumberFormat="1" applyFont="1" applyFill="1" applyBorder="1" applyAlignment="1">
      <alignment horizontal="center"/>
    </xf>
    <xf numFmtId="0" fontId="1" fillId="0" borderId="33" xfId="0" applyFont="1" applyBorder="1" applyAlignment="1">
      <alignment/>
    </xf>
    <xf numFmtId="3" fontId="1" fillId="0" borderId="35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167" fontId="5" fillId="0" borderId="23" xfId="0" applyNumberFormat="1" applyFont="1" applyFill="1" applyBorder="1" applyAlignment="1">
      <alignment horizontal="center"/>
    </xf>
    <xf numFmtId="3" fontId="8" fillId="0" borderId="60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4" fillId="0" borderId="12" xfId="0" applyFont="1" applyBorder="1" applyAlignment="1">
      <alignment horizontal="left" wrapText="1"/>
    </xf>
    <xf numFmtId="4" fontId="0" fillId="0" borderId="12" xfId="0" applyNumberFormat="1" applyBorder="1" applyAlignment="1">
      <alignment/>
    </xf>
    <xf numFmtId="0" fontId="34" fillId="0" borderId="12" xfId="0" applyFont="1" applyBorder="1" applyAlignment="1">
      <alignment horizontal="justify"/>
    </xf>
    <xf numFmtId="0" fontId="34" fillId="0" borderId="12" xfId="0" applyFont="1" applyBorder="1" applyAlignment="1">
      <alignment wrapText="1"/>
    </xf>
    <xf numFmtId="0" fontId="34" fillId="0" borderId="15" xfId="0" applyFont="1" applyBorder="1" applyAlignment="1">
      <alignment wrapText="1"/>
    </xf>
    <xf numFmtId="4" fontId="0" fillId="0" borderId="15" xfId="0" applyNumberFormat="1" applyBorder="1" applyAlignment="1">
      <alignment/>
    </xf>
    <xf numFmtId="0" fontId="35" fillId="0" borderId="17" xfId="0" applyFont="1" applyBorder="1" applyAlignment="1">
      <alignment horizontal="justify"/>
    </xf>
    <xf numFmtId="4" fontId="1" fillId="0" borderId="31" xfId="0" applyNumberFormat="1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 wrapText="1"/>
    </xf>
    <xf numFmtId="0" fontId="3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62" xfId="0" applyNumberFormat="1" applyFont="1" applyBorder="1" applyAlignment="1">
      <alignment/>
    </xf>
    <xf numFmtId="0" fontId="1" fillId="20" borderId="15" xfId="0" applyFont="1" applyFill="1" applyBorder="1" applyAlignment="1">
      <alignment horizontal="center" vertical="center"/>
    </xf>
    <xf numFmtId="0" fontId="6" fillId="2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67" fontId="5" fillId="0" borderId="5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3" fontId="6" fillId="0" borderId="2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" fillId="20" borderId="15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ont="1" applyAlignment="1">
      <alignment/>
    </xf>
    <xf numFmtId="167" fontId="5" fillId="0" borderId="13" xfId="0" applyNumberFormat="1" applyFont="1" applyBorder="1" applyAlignment="1">
      <alignment horizontal="center"/>
    </xf>
    <xf numFmtId="166" fontId="6" fillId="0" borderId="37" xfId="0" applyNumberFormat="1" applyFont="1" applyFill="1" applyBorder="1" applyAlignment="1">
      <alignment horizontal="center"/>
    </xf>
    <xf numFmtId="167" fontId="6" fillId="0" borderId="37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65" fontId="6" fillId="0" borderId="37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8" fillId="0" borderId="30" xfId="0" applyFont="1" applyBorder="1" applyAlignment="1">
      <alignment/>
    </xf>
    <xf numFmtId="3" fontId="5" fillId="0" borderId="58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165" fontId="5" fillId="0" borderId="34" xfId="0" applyNumberFormat="1" applyFont="1" applyBorder="1" applyAlignment="1">
      <alignment horizontal="right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/>
    </xf>
    <xf numFmtId="3" fontId="13" fillId="0" borderId="56" xfId="0" applyNumberFormat="1" applyFont="1" applyBorder="1" applyAlignment="1">
      <alignment vertical="center" wrapText="1"/>
    </xf>
    <xf numFmtId="3" fontId="8" fillId="0" borderId="57" xfId="0" applyNumberFormat="1" applyFont="1" applyBorder="1" applyAlignment="1">
      <alignment vertical="center" wrapText="1"/>
    </xf>
    <xf numFmtId="0" fontId="9" fillId="0" borderId="64" xfId="0" applyFont="1" applyBorder="1" applyAlignment="1">
      <alignment/>
    </xf>
    <xf numFmtId="3" fontId="9" fillId="0" borderId="37" xfId="0" applyNumberFormat="1" applyFont="1" applyBorder="1" applyAlignment="1">
      <alignment horizontal="right" vertical="center" wrapText="1"/>
    </xf>
    <xf numFmtId="3" fontId="8" fillId="0" borderId="64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 wrapText="1"/>
    </xf>
    <xf numFmtId="0" fontId="8" fillId="0" borderId="15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8" fillId="0" borderId="42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64" xfId="0" applyFont="1" applyBorder="1" applyAlignment="1">
      <alignment/>
    </xf>
    <xf numFmtId="0" fontId="9" fillId="0" borderId="37" xfId="0" applyFont="1" applyFill="1" applyBorder="1" applyAlignment="1">
      <alignment wrapText="1"/>
    </xf>
    <xf numFmtId="0" fontId="9" fillId="0" borderId="21" xfId="0" applyFont="1" applyBorder="1" applyAlignment="1">
      <alignment horizontal="center" vertical="center"/>
    </xf>
    <xf numFmtId="0" fontId="9" fillId="0" borderId="56" xfId="0" applyFont="1" applyBorder="1" applyAlignment="1">
      <alignment/>
    </xf>
    <xf numFmtId="0" fontId="9" fillId="0" borderId="21" xfId="0" applyFont="1" applyBorder="1" applyAlignment="1">
      <alignment/>
    </xf>
    <xf numFmtId="3" fontId="9" fillId="0" borderId="2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1" xfId="0" applyBorder="1" applyAlignment="1">
      <alignment vertical="center"/>
    </xf>
    <xf numFmtId="3" fontId="15" fillId="0" borderId="13" xfId="0" applyNumberFormat="1" applyFont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3" fontId="13" fillId="0" borderId="13" xfId="0" applyNumberFormat="1" applyFont="1" applyBorder="1" applyAlignment="1">
      <alignment vertical="center"/>
    </xf>
    <xf numFmtId="0" fontId="13" fillId="0" borderId="12" xfId="0" applyNumberFormat="1" applyFont="1" applyBorder="1" applyAlignment="1">
      <alignment wrapText="1"/>
    </xf>
    <xf numFmtId="0" fontId="15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165" fontId="13" fillId="0" borderId="15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/>
    </xf>
    <xf numFmtId="165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37" fillId="0" borderId="15" xfId="0" applyFont="1" applyBorder="1" applyAlignment="1">
      <alignment horizontal="right" vertical="center" wrapText="1"/>
    </xf>
    <xf numFmtId="0" fontId="37" fillId="0" borderId="15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3" fillId="0" borderId="19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 wrapText="1"/>
    </xf>
    <xf numFmtId="3" fontId="9" fillId="0" borderId="21" xfId="0" applyNumberFormat="1" applyFont="1" applyBorder="1" applyAlignment="1">
      <alignment/>
    </xf>
    <xf numFmtId="3" fontId="9" fillId="0" borderId="58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65" xfId="0" applyFont="1" applyBorder="1" applyAlignment="1">
      <alignment/>
    </xf>
    <xf numFmtId="3" fontId="6" fillId="0" borderId="65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23" xfId="0" applyFont="1" applyFill="1" applyBorder="1" applyAlignment="1">
      <alignment/>
    </xf>
    <xf numFmtId="0" fontId="9" fillId="0" borderId="65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66" xfId="0" applyFont="1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66" xfId="0" applyFont="1" applyBorder="1" applyAlignment="1">
      <alignment/>
    </xf>
    <xf numFmtId="3" fontId="5" fillId="0" borderId="66" xfId="0" applyNumberFormat="1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21" xfId="0" applyNumberFormat="1" applyFont="1" applyBorder="1" applyAlignment="1">
      <alignment wrapText="1"/>
    </xf>
    <xf numFmtId="3" fontId="9" fillId="0" borderId="17" xfId="0" applyNumberFormat="1" applyFont="1" applyBorder="1" applyAlignment="1">
      <alignment wrapText="1"/>
    </xf>
    <xf numFmtId="3" fontId="8" fillId="0" borderId="56" xfId="0" applyNumberFormat="1" applyFont="1" applyBorder="1" applyAlignment="1">
      <alignment wrapText="1"/>
    </xf>
    <xf numFmtId="3" fontId="8" fillId="0" borderId="16" xfId="0" applyNumberFormat="1" applyFont="1" applyBorder="1" applyAlignment="1">
      <alignment/>
    </xf>
    <xf numFmtId="0" fontId="9" fillId="0" borderId="37" xfId="0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166" fontId="8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4" fontId="5" fillId="0" borderId="15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5" fillId="0" borderId="15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4" fontId="37" fillId="0" borderId="15" xfId="0" applyNumberFormat="1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9" fillId="0" borderId="37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/>
    </xf>
    <xf numFmtId="0" fontId="9" fillId="0" borderId="57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/>
    </xf>
    <xf numFmtId="3" fontId="9" fillId="0" borderId="31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/>
    </xf>
    <xf numFmtId="4" fontId="9" fillId="0" borderId="13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 wrapText="1"/>
    </xf>
    <xf numFmtId="4" fontId="9" fillId="0" borderId="47" xfId="0" applyNumberFormat="1" applyFont="1" applyFill="1" applyBorder="1" applyAlignment="1">
      <alignment wrapText="1"/>
    </xf>
    <xf numFmtId="4" fontId="8" fillId="0" borderId="47" xfId="0" applyNumberFormat="1" applyFont="1" applyBorder="1" applyAlignment="1">
      <alignment/>
    </xf>
    <xf numFmtId="4" fontId="8" fillId="0" borderId="44" xfId="0" applyNumberFormat="1" applyFont="1" applyBorder="1" applyAlignment="1">
      <alignment/>
    </xf>
    <xf numFmtId="165" fontId="6" fillId="0" borderId="40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4" fontId="6" fillId="0" borderId="40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67" fontId="6" fillId="0" borderId="40" xfId="0" applyNumberFormat="1" applyFont="1" applyBorder="1" applyAlignment="1">
      <alignment horizontal="center" vertical="center"/>
    </xf>
    <xf numFmtId="167" fontId="6" fillId="0" borderId="34" xfId="0" applyNumberFormat="1" applyFont="1" applyBorder="1" applyAlignment="1">
      <alignment horizontal="center" vertical="center"/>
    </xf>
    <xf numFmtId="166" fontId="6" fillId="0" borderId="40" xfId="0" applyNumberFormat="1" applyFont="1" applyBorder="1" applyAlignment="1">
      <alignment horizontal="center" vertical="center"/>
    </xf>
    <xf numFmtId="166" fontId="6" fillId="0" borderId="34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left"/>
    </xf>
    <xf numFmtId="0" fontId="9" fillId="0" borderId="64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5" fontId="9" fillId="0" borderId="48" xfId="0" applyNumberFormat="1" applyFont="1" applyBorder="1" applyAlignment="1">
      <alignment horizontal="center" vertical="center"/>
    </xf>
    <xf numFmtId="166" fontId="9" fillId="0" borderId="37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64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7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4">
      <selection activeCell="G8" sqref="G8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3.00390625" style="0" customWidth="1"/>
    <col min="4" max="4" width="14.375" style="0" customWidth="1"/>
  </cols>
  <sheetData>
    <row r="1" spans="1:4" ht="57.75" customHeight="1">
      <c r="A1" s="757" t="s">
        <v>46</v>
      </c>
      <c r="B1" s="757"/>
      <c r="C1" s="757"/>
      <c r="D1" s="757"/>
    </row>
    <row r="2" spans="2:3" ht="27" customHeight="1">
      <c r="B2" s="758" t="s">
        <v>182</v>
      </c>
      <c r="C2" s="758"/>
    </row>
    <row r="3" spans="1:4" ht="24">
      <c r="A3" s="25" t="s">
        <v>8</v>
      </c>
      <c r="B3" s="507" t="s">
        <v>9</v>
      </c>
      <c r="C3" s="507" t="s">
        <v>169</v>
      </c>
      <c r="D3" s="532" t="s">
        <v>10</v>
      </c>
    </row>
    <row r="4" spans="1:4" ht="30" customHeight="1">
      <c r="A4" s="104">
        <v>1</v>
      </c>
      <c r="B4" s="524" t="s">
        <v>11</v>
      </c>
      <c r="C4" s="533" t="s">
        <v>173</v>
      </c>
      <c r="D4" s="525">
        <v>43168</v>
      </c>
    </row>
    <row r="5" spans="1:4" ht="26.25" customHeight="1">
      <c r="A5" s="104">
        <v>2</v>
      </c>
      <c r="B5" s="524" t="s">
        <v>12</v>
      </c>
      <c r="C5" s="533" t="s">
        <v>174</v>
      </c>
      <c r="D5" s="525">
        <v>78570</v>
      </c>
    </row>
    <row r="6" spans="1:4" ht="42" customHeight="1">
      <c r="A6" s="104">
        <v>3</v>
      </c>
      <c r="B6" s="524" t="s">
        <v>13</v>
      </c>
      <c r="C6" s="533" t="s">
        <v>175</v>
      </c>
      <c r="D6" s="525">
        <v>170620</v>
      </c>
    </row>
    <row r="7" spans="1:4" ht="42.75" customHeight="1">
      <c r="A7" s="104">
        <v>4</v>
      </c>
      <c r="B7" s="526" t="s">
        <v>14</v>
      </c>
      <c r="C7" s="534" t="s">
        <v>176</v>
      </c>
      <c r="D7" s="525">
        <v>38120</v>
      </c>
    </row>
    <row r="8" spans="1:4" ht="30" customHeight="1">
      <c r="A8" s="104">
        <v>5</v>
      </c>
      <c r="B8" s="526" t="s">
        <v>15</v>
      </c>
      <c r="C8" s="534" t="s">
        <v>177</v>
      </c>
      <c r="D8" s="525">
        <v>37965</v>
      </c>
    </row>
    <row r="9" spans="1:4" ht="28.5" customHeight="1">
      <c r="A9" s="104">
        <v>6</v>
      </c>
      <c r="B9" s="526" t="s">
        <v>16</v>
      </c>
      <c r="C9" s="534" t="s">
        <v>178</v>
      </c>
      <c r="D9" s="525">
        <v>262500</v>
      </c>
    </row>
    <row r="10" spans="1:4" ht="30" customHeight="1">
      <c r="A10" s="104">
        <v>7</v>
      </c>
      <c r="B10" s="526" t="s">
        <v>17</v>
      </c>
      <c r="C10" s="534" t="s">
        <v>172</v>
      </c>
      <c r="D10" s="525">
        <v>102075</v>
      </c>
    </row>
    <row r="11" spans="1:4" ht="27.75" customHeight="1">
      <c r="A11" s="104">
        <v>8</v>
      </c>
      <c r="B11" s="527" t="s">
        <v>18</v>
      </c>
      <c r="C11" s="533" t="s">
        <v>171</v>
      </c>
      <c r="D11" s="525">
        <v>29900</v>
      </c>
    </row>
    <row r="12" spans="1:4" ht="32.25" customHeight="1" thickBot="1">
      <c r="A12" s="146">
        <v>9</v>
      </c>
      <c r="B12" s="528" t="s">
        <v>19</v>
      </c>
      <c r="C12" s="535" t="s">
        <v>170</v>
      </c>
      <c r="D12" s="529">
        <v>14600</v>
      </c>
    </row>
    <row r="13" spans="1:4" ht="18.75" customHeight="1" thickBot="1">
      <c r="A13" s="154"/>
      <c r="B13" s="530" t="s">
        <v>168</v>
      </c>
      <c r="C13" s="536"/>
      <c r="D13" s="531">
        <f>SUM(D4:D12)</f>
        <v>777518</v>
      </c>
    </row>
    <row r="14" spans="3:4" ht="12.75">
      <c r="C14" s="522"/>
      <c r="D14" s="523"/>
    </row>
    <row r="15" ht="12.75">
      <c r="C15" s="522"/>
    </row>
    <row r="16" spans="1:4" ht="24">
      <c r="A16" s="104">
        <v>1</v>
      </c>
      <c r="B16" s="527" t="s">
        <v>179</v>
      </c>
      <c r="C16" s="537" t="s">
        <v>180</v>
      </c>
      <c r="D16" s="525">
        <v>600000</v>
      </c>
    </row>
    <row r="17" ht="15" customHeight="1" thickBot="1">
      <c r="D17" s="523"/>
    </row>
    <row r="18" spans="2:4" ht="19.5" customHeight="1" thickBot="1">
      <c r="B18" s="538" t="s">
        <v>181</v>
      </c>
      <c r="C18" s="539"/>
      <c r="D18" s="540">
        <f>SUM(D13+D16)</f>
        <v>1377518</v>
      </c>
    </row>
  </sheetData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19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125" style="48" customWidth="1"/>
    <col min="2" max="2" width="6.875" style="49" customWidth="1"/>
    <col min="3" max="3" width="6.125" style="50" customWidth="1"/>
    <col min="4" max="4" width="51.25390625" style="27" customWidth="1"/>
    <col min="5" max="5" width="13.875" style="27" customWidth="1"/>
    <col min="6" max="7" width="12.625" style="95" customWidth="1"/>
    <col min="8" max="8" width="12.00390625" style="27" customWidth="1"/>
  </cols>
  <sheetData>
    <row r="1" spans="1:4" ht="54.75" customHeight="1">
      <c r="A1" s="757" t="s">
        <v>86</v>
      </c>
      <c r="B1" s="757"/>
      <c r="C1" s="757"/>
      <c r="D1" s="757"/>
    </row>
    <row r="2" spans="1:8" ht="18.75" customHeight="1" thickBot="1">
      <c r="A2" s="785" t="s">
        <v>534</v>
      </c>
      <c r="B2" s="785"/>
      <c r="C2" s="785"/>
      <c r="D2" s="785"/>
      <c r="E2" s="785"/>
      <c r="F2" s="785"/>
      <c r="G2" s="785"/>
      <c r="H2" s="785"/>
    </row>
    <row r="3" spans="1:8" ht="18.75" customHeight="1" thickBot="1">
      <c r="A3" s="798" t="s">
        <v>187</v>
      </c>
      <c r="B3" s="796" t="s">
        <v>188</v>
      </c>
      <c r="C3" s="794" t="s">
        <v>262</v>
      </c>
      <c r="D3" s="792" t="s">
        <v>189</v>
      </c>
      <c r="E3" s="790" t="s">
        <v>536</v>
      </c>
      <c r="F3" s="788" t="s">
        <v>535</v>
      </c>
      <c r="G3" s="786" t="s">
        <v>251</v>
      </c>
      <c r="H3" s="787"/>
    </row>
    <row r="4" spans="1:8" ht="37.5" customHeight="1" thickBot="1">
      <c r="A4" s="799"/>
      <c r="B4" s="797"/>
      <c r="C4" s="795"/>
      <c r="D4" s="793"/>
      <c r="E4" s="791"/>
      <c r="F4" s="789"/>
      <c r="G4" s="330" t="s">
        <v>421</v>
      </c>
      <c r="H4" s="331" t="s">
        <v>422</v>
      </c>
    </row>
    <row r="5" spans="1:8" ht="12" customHeight="1" thickBot="1">
      <c r="A5" s="72">
        <v>1</v>
      </c>
      <c r="B5" s="73">
        <v>2</v>
      </c>
      <c r="C5" s="98">
        <v>3</v>
      </c>
      <c r="D5" s="74">
        <v>4</v>
      </c>
      <c r="E5" s="75">
        <v>5</v>
      </c>
      <c r="F5" s="97">
        <v>6</v>
      </c>
      <c r="G5" s="97">
        <v>7</v>
      </c>
      <c r="H5" s="75">
        <v>8</v>
      </c>
    </row>
    <row r="6" spans="1:63" s="5" customFormat="1" ht="16.5" customHeight="1" thickBot="1" thickTop="1">
      <c r="A6" s="115">
        <v>10</v>
      </c>
      <c r="B6" s="116"/>
      <c r="C6" s="117"/>
      <c r="D6" s="241" t="s">
        <v>215</v>
      </c>
      <c r="E6" s="308">
        <f>+E7</f>
        <v>160693.5</v>
      </c>
      <c r="F6" s="308">
        <f>+F7</f>
        <v>0</v>
      </c>
      <c r="G6" s="327"/>
      <c r="H6" s="11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2.75" customHeight="1">
      <c r="A7" s="54"/>
      <c r="B7" s="125">
        <v>1095</v>
      </c>
      <c r="C7" s="126"/>
      <c r="D7" s="106" t="s">
        <v>190</v>
      </c>
      <c r="E7" s="309">
        <f>SUM(E8:E9)</f>
        <v>160693.5</v>
      </c>
      <c r="F7" s="127">
        <f>SUM(F8)</f>
        <v>0</v>
      </c>
      <c r="G7" s="127"/>
      <c r="H7" s="127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" customHeight="1">
      <c r="A8" s="54"/>
      <c r="B8" s="188"/>
      <c r="C8" s="76">
        <v>960</v>
      </c>
      <c r="D8" s="103" t="s">
        <v>345</v>
      </c>
      <c r="E8" s="29">
        <v>5075</v>
      </c>
      <c r="F8" s="29"/>
      <c r="G8" s="29"/>
      <c r="H8" s="29"/>
      <c r="I8" t="s">
        <v>197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39.75" customHeight="1" thickBot="1">
      <c r="A9" s="93"/>
      <c r="B9" s="306"/>
      <c r="C9" s="80">
        <v>2010</v>
      </c>
      <c r="D9" s="300" t="s">
        <v>347</v>
      </c>
      <c r="E9" s="307">
        <v>155618.5</v>
      </c>
      <c r="F9" s="44"/>
      <c r="G9" s="44"/>
      <c r="H9" s="18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8" s="7" customFormat="1" ht="16.5" customHeight="1" thickBot="1">
      <c r="A10" s="186">
        <v>600</v>
      </c>
      <c r="B10" s="111"/>
      <c r="C10" s="112"/>
      <c r="D10" s="243" t="s">
        <v>214</v>
      </c>
      <c r="E10" s="113">
        <f>SUM(E11)</f>
        <v>100000</v>
      </c>
      <c r="F10" s="113">
        <f>SUM(F11)</f>
        <v>0</v>
      </c>
      <c r="G10" s="328"/>
      <c r="H10" s="119"/>
    </row>
    <row r="11" spans="1:8" s="7" customFormat="1" ht="16.5" customHeight="1">
      <c r="A11" s="59"/>
      <c r="B11" s="52">
        <v>60016</v>
      </c>
      <c r="C11" s="53"/>
      <c r="D11" s="242" t="s">
        <v>203</v>
      </c>
      <c r="E11" s="40">
        <f>SUM(E12:E12)</f>
        <v>100000</v>
      </c>
      <c r="F11" s="40">
        <f>SUM(F12:F12)</f>
        <v>0</v>
      </c>
      <c r="G11" s="40"/>
      <c r="H11" s="28"/>
    </row>
    <row r="12" spans="1:8" s="7" customFormat="1" ht="27" customHeight="1" thickBot="1">
      <c r="A12" s="59"/>
      <c r="B12" s="52"/>
      <c r="C12" s="480">
        <v>2440</v>
      </c>
      <c r="D12" s="103" t="s">
        <v>538</v>
      </c>
      <c r="E12" s="123">
        <v>100000</v>
      </c>
      <c r="F12" s="124"/>
      <c r="G12" s="124"/>
      <c r="H12" s="124"/>
    </row>
    <row r="13" spans="1:70" ht="16.5" customHeight="1" thickBot="1">
      <c r="A13" s="110">
        <v>700</v>
      </c>
      <c r="B13" s="111"/>
      <c r="C13" s="112"/>
      <c r="D13" s="244" t="s">
        <v>191</v>
      </c>
      <c r="E13" s="113">
        <f>+E14</f>
        <v>2239441</v>
      </c>
      <c r="F13" s="113">
        <f>+F14</f>
        <v>3188620</v>
      </c>
      <c r="G13" s="113">
        <f>+G14</f>
        <v>1100000</v>
      </c>
      <c r="H13" s="1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16.5" customHeight="1">
      <c r="A14" s="51"/>
      <c r="B14" s="52">
        <v>70005</v>
      </c>
      <c r="C14" s="53"/>
      <c r="D14" s="245" t="s">
        <v>239</v>
      </c>
      <c r="E14" s="40">
        <f>SUM(E15:E22)</f>
        <v>2239441</v>
      </c>
      <c r="F14" s="40">
        <f>SUM(F15:F23)</f>
        <v>3188620</v>
      </c>
      <c r="G14" s="40">
        <f>SUM(G15:G23)</f>
        <v>1100000</v>
      </c>
      <c r="H14" s="42"/>
      <c r="I14" s="1" t="s">
        <v>197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22.5">
      <c r="A15" s="51"/>
      <c r="B15" s="52"/>
      <c r="C15" s="76">
        <v>470</v>
      </c>
      <c r="D15" s="103" t="s">
        <v>317</v>
      </c>
      <c r="E15" s="29">
        <v>145300</v>
      </c>
      <c r="F15" s="29">
        <v>155220</v>
      </c>
      <c r="G15" s="29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22.5" customHeight="1">
      <c r="A16" s="51"/>
      <c r="B16" s="52"/>
      <c r="C16" s="76">
        <v>490</v>
      </c>
      <c r="D16" s="103" t="s">
        <v>388</v>
      </c>
      <c r="E16" s="29"/>
      <c r="F16" s="29">
        <v>20000</v>
      </c>
      <c r="G16" s="29"/>
      <c r="H16" s="29"/>
      <c r="I16" s="1" t="s">
        <v>23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15" customHeight="1">
      <c r="A17" s="51"/>
      <c r="B17" s="52"/>
      <c r="C17" s="76">
        <v>690</v>
      </c>
      <c r="D17" s="103" t="s">
        <v>266</v>
      </c>
      <c r="E17" s="29">
        <v>20725</v>
      </c>
      <c r="F17" s="29">
        <v>10000</v>
      </c>
      <c r="G17" s="29"/>
      <c r="H17" s="2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46.5" customHeight="1">
      <c r="A18" s="54"/>
      <c r="B18" s="55"/>
      <c r="C18" s="76">
        <v>750</v>
      </c>
      <c r="D18" s="103" t="s">
        <v>318</v>
      </c>
      <c r="E18" s="29">
        <v>562295</v>
      </c>
      <c r="F18" s="29">
        <v>650400</v>
      </c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33.75">
      <c r="A19" s="54"/>
      <c r="B19" s="55"/>
      <c r="C19" s="76">
        <v>760</v>
      </c>
      <c r="D19" s="103" t="s">
        <v>302</v>
      </c>
      <c r="E19" s="29">
        <v>20000</v>
      </c>
      <c r="F19" s="29">
        <v>15000</v>
      </c>
      <c r="G19" s="29">
        <f>SUM(F19)</f>
        <v>15000</v>
      </c>
      <c r="H19" s="2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15.75" customHeight="1">
      <c r="A20" s="54"/>
      <c r="B20" s="55"/>
      <c r="C20" s="76">
        <v>830</v>
      </c>
      <c r="D20" s="103" t="s">
        <v>244</v>
      </c>
      <c r="E20" s="29">
        <v>3000</v>
      </c>
      <c r="F20" s="29">
        <v>3000</v>
      </c>
      <c r="G20" s="29"/>
      <c r="H20" s="3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15.75" customHeight="1">
      <c r="A21" s="54"/>
      <c r="B21" s="55"/>
      <c r="C21" s="76">
        <v>870</v>
      </c>
      <c r="D21" s="103" t="s">
        <v>333</v>
      </c>
      <c r="E21" s="29">
        <v>1483121</v>
      </c>
      <c r="F21" s="29">
        <f>150000+935000</f>
        <v>1085000</v>
      </c>
      <c r="G21" s="29">
        <f>SUM(F21)</f>
        <v>1085000</v>
      </c>
      <c r="H21" s="2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8" ht="15.75" customHeight="1">
      <c r="A22" s="54"/>
      <c r="B22" s="55"/>
      <c r="C22" s="76">
        <v>910</v>
      </c>
      <c r="D22" s="103" t="s">
        <v>346</v>
      </c>
      <c r="E22" s="29">
        <v>5000</v>
      </c>
      <c r="F22" s="128"/>
      <c r="G22" s="128"/>
      <c r="H22" s="39"/>
    </row>
    <row r="23" spans="1:8" ht="16.5" customHeight="1" thickBot="1">
      <c r="A23" s="579"/>
      <c r="B23" s="61"/>
      <c r="C23" s="78">
        <v>970</v>
      </c>
      <c r="D23" s="247" t="s">
        <v>245</v>
      </c>
      <c r="E23" s="44"/>
      <c r="F23" s="141">
        <v>1250000</v>
      </c>
      <c r="G23" s="577"/>
      <c r="H23" s="578"/>
    </row>
    <row r="24" spans="1:8" ht="16.5" customHeight="1" thickBot="1">
      <c r="A24" s="110">
        <v>710</v>
      </c>
      <c r="B24" s="111"/>
      <c r="C24" s="112"/>
      <c r="D24" s="244" t="s">
        <v>226</v>
      </c>
      <c r="E24" s="113">
        <f>SUM(E25)</f>
        <v>6000</v>
      </c>
      <c r="F24" s="113">
        <f>SUM(F25)</f>
        <v>0</v>
      </c>
      <c r="G24" s="328"/>
      <c r="H24" s="119"/>
    </row>
    <row r="25" spans="1:8" ht="16.5" customHeight="1">
      <c r="A25" s="59"/>
      <c r="B25" s="52">
        <v>71035</v>
      </c>
      <c r="C25" s="53"/>
      <c r="D25" s="245" t="s">
        <v>274</v>
      </c>
      <c r="E25" s="40">
        <f>SUM(E26)</f>
        <v>6000</v>
      </c>
      <c r="F25" s="40">
        <f>SUM(F26)</f>
        <v>0</v>
      </c>
      <c r="G25" s="40"/>
      <c r="H25" s="42"/>
    </row>
    <row r="26" spans="1:8" ht="36" customHeight="1" thickBot="1">
      <c r="A26" s="57"/>
      <c r="B26" s="58"/>
      <c r="C26" s="77">
        <v>2020</v>
      </c>
      <c r="D26" s="246" t="s">
        <v>319</v>
      </c>
      <c r="E26" s="41">
        <v>6000</v>
      </c>
      <c r="F26" s="29"/>
      <c r="G26" s="29"/>
      <c r="H26" s="29"/>
    </row>
    <row r="27" spans="1:8" ht="16.5" customHeight="1" thickBot="1">
      <c r="A27" s="110">
        <v>750</v>
      </c>
      <c r="B27" s="111"/>
      <c r="C27" s="112"/>
      <c r="D27" s="243" t="s">
        <v>216</v>
      </c>
      <c r="E27" s="113">
        <f>+E31+E28</f>
        <v>346544</v>
      </c>
      <c r="F27" s="113">
        <f>+F31+F28</f>
        <v>297715</v>
      </c>
      <c r="G27" s="113"/>
      <c r="H27" s="113">
        <f>+H31+H28</f>
        <v>214695</v>
      </c>
    </row>
    <row r="28" spans="1:8" ht="16.5" customHeight="1">
      <c r="A28" s="59"/>
      <c r="B28" s="52">
        <v>75011</v>
      </c>
      <c r="C28" s="53"/>
      <c r="D28" s="242" t="s">
        <v>241</v>
      </c>
      <c r="E28" s="40">
        <f>SUM(E29:E30)</f>
        <v>214944</v>
      </c>
      <c r="F28" s="40">
        <f>SUM(F29:F30)</f>
        <v>217715</v>
      </c>
      <c r="G28" s="40"/>
      <c r="H28" s="40">
        <f>SUM(H29:H30)</f>
        <v>214695</v>
      </c>
    </row>
    <row r="29" spans="1:8" ht="38.25" customHeight="1">
      <c r="A29" s="60"/>
      <c r="B29" s="56"/>
      <c r="C29" s="76">
        <v>2010</v>
      </c>
      <c r="D29" s="103" t="s">
        <v>347</v>
      </c>
      <c r="E29" s="29">
        <v>207396</v>
      </c>
      <c r="F29" s="29">
        <v>214695</v>
      </c>
      <c r="G29" s="29"/>
      <c r="H29" s="29">
        <v>214695</v>
      </c>
    </row>
    <row r="30" spans="1:8" ht="37.5" customHeight="1">
      <c r="A30" s="60"/>
      <c r="B30" s="56"/>
      <c r="C30" s="76">
        <v>2360</v>
      </c>
      <c r="D30" s="103" t="s">
        <v>320</v>
      </c>
      <c r="E30" s="29">
        <v>7548</v>
      </c>
      <c r="F30" s="29">
        <v>3020</v>
      </c>
      <c r="G30" s="29"/>
      <c r="H30" s="29"/>
    </row>
    <row r="31" spans="1:8" ht="16.5" customHeight="1">
      <c r="A31" s="54"/>
      <c r="B31" s="56">
        <v>75023</v>
      </c>
      <c r="C31" s="62"/>
      <c r="D31" s="101" t="s">
        <v>217</v>
      </c>
      <c r="E31" s="39">
        <f>SUM(E32:E35)</f>
        <v>131600</v>
      </c>
      <c r="F31" s="39">
        <f>SUM(F32:F35)</f>
        <v>80000</v>
      </c>
      <c r="G31" s="39"/>
      <c r="H31" s="39"/>
    </row>
    <row r="32" spans="1:8" ht="24.75" customHeight="1">
      <c r="A32" s="54"/>
      <c r="B32" s="56"/>
      <c r="C32" s="129">
        <v>580</v>
      </c>
      <c r="D32" s="310" t="s">
        <v>416</v>
      </c>
      <c r="E32" s="128">
        <v>16500</v>
      </c>
      <c r="F32" s="128"/>
      <c r="G32" s="128"/>
      <c r="H32" s="39"/>
    </row>
    <row r="33" spans="1:8" ht="16.5" customHeight="1">
      <c r="A33" s="54"/>
      <c r="B33" s="55"/>
      <c r="C33" s="76">
        <v>830</v>
      </c>
      <c r="D33" s="103" t="s">
        <v>244</v>
      </c>
      <c r="E33" s="29">
        <v>109100</v>
      </c>
      <c r="F33" s="29">
        <v>80000</v>
      </c>
      <c r="G33" s="29"/>
      <c r="H33" s="39"/>
    </row>
    <row r="34" spans="1:8" ht="16.5" customHeight="1">
      <c r="A34" s="57"/>
      <c r="B34" s="58"/>
      <c r="C34" s="76">
        <v>960</v>
      </c>
      <c r="D34" s="103" t="s">
        <v>345</v>
      </c>
      <c r="E34" s="41">
        <v>1000</v>
      </c>
      <c r="F34" s="41"/>
      <c r="G34" s="41"/>
      <c r="H34" s="43"/>
    </row>
    <row r="35" spans="1:8" ht="17.25" customHeight="1" thickBot="1">
      <c r="A35" s="57"/>
      <c r="B35" s="58"/>
      <c r="C35" s="78">
        <v>970</v>
      </c>
      <c r="D35" s="247" t="s">
        <v>245</v>
      </c>
      <c r="E35" s="41">
        <v>5000</v>
      </c>
      <c r="F35" s="41"/>
      <c r="G35" s="41"/>
      <c r="H35" s="43"/>
    </row>
    <row r="36" spans="1:8" ht="37.5" customHeight="1" thickBot="1">
      <c r="A36" s="110">
        <v>751</v>
      </c>
      <c r="B36" s="111"/>
      <c r="C36" s="112"/>
      <c r="D36" s="244" t="s">
        <v>218</v>
      </c>
      <c r="E36" s="113">
        <f>+E37</f>
        <v>5220</v>
      </c>
      <c r="F36" s="113">
        <f>+F37</f>
        <v>5865</v>
      </c>
      <c r="G36" s="113"/>
      <c r="H36" s="113">
        <f>+H37</f>
        <v>5865</v>
      </c>
    </row>
    <row r="37" spans="1:8" ht="24" customHeight="1">
      <c r="A37" s="51"/>
      <c r="B37" s="52">
        <v>75101</v>
      </c>
      <c r="C37" s="53"/>
      <c r="D37" s="245" t="s">
        <v>308</v>
      </c>
      <c r="E37" s="40">
        <f>SUM(E38)</f>
        <v>5220</v>
      </c>
      <c r="F37" s="40">
        <f>SUM(F38)</f>
        <v>5865</v>
      </c>
      <c r="G37" s="40"/>
      <c r="H37" s="40">
        <f>SUM(H38)</f>
        <v>5865</v>
      </c>
    </row>
    <row r="38" spans="1:8" ht="34.5" customHeight="1" thickBot="1">
      <c r="A38" s="54"/>
      <c r="B38" s="55"/>
      <c r="C38" s="76">
        <v>2010</v>
      </c>
      <c r="D38" s="103" t="s">
        <v>347</v>
      </c>
      <c r="E38" s="29">
        <v>5220</v>
      </c>
      <c r="F38" s="29">
        <v>5865</v>
      </c>
      <c r="G38" s="29"/>
      <c r="H38" s="29">
        <v>5865</v>
      </c>
    </row>
    <row r="39" spans="1:8" ht="29.25" customHeight="1" thickBot="1">
      <c r="A39" s="110">
        <v>754</v>
      </c>
      <c r="B39" s="111"/>
      <c r="C39" s="112"/>
      <c r="D39" s="244" t="s">
        <v>410</v>
      </c>
      <c r="E39" s="113">
        <f>E40+E42</f>
        <v>12050</v>
      </c>
      <c r="F39" s="113">
        <f>F40+F42</f>
        <v>12400</v>
      </c>
      <c r="G39" s="328"/>
      <c r="H39" s="119">
        <f>H40+H42</f>
        <v>2400</v>
      </c>
    </row>
    <row r="40" spans="1:8" ht="16.5" customHeight="1">
      <c r="A40" s="51"/>
      <c r="B40" s="52">
        <v>75414</v>
      </c>
      <c r="C40" s="53"/>
      <c r="D40" s="242" t="s">
        <v>198</v>
      </c>
      <c r="E40" s="40">
        <f>SUM(E41:E41)</f>
        <v>2050</v>
      </c>
      <c r="F40" s="40">
        <f>SUM(F41:F41)</f>
        <v>2400</v>
      </c>
      <c r="G40" s="40"/>
      <c r="H40" s="40">
        <f>SUM(H41:H41)</f>
        <v>2400</v>
      </c>
    </row>
    <row r="41" spans="1:9" ht="38.25" customHeight="1">
      <c r="A41" s="54"/>
      <c r="B41" s="55"/>
      <c r="C41" s="76">
        <v>2010</v>
      </c>
      <c r="D41" s="103" t="s">
        <v>347</v>
      </c>
      <c r="E41" s="29">
        <v>2050</v>
      </c>
      <c r="F41" s="29">
        <v>2400</v>
      </c>
      <c r="G41" s="29"/>
      <c r="H41" s="29">
        <v>2400</v>
      </c>
      <c r="I41" t="s">
        <v>197</v>
      </c>
    </row>
    <row r="42" spans="1:9" ht="16.5" customHeight="1">
      <c r="A42" s="54"/>
      <c r="B42" s="56">
        <v>75416</v>
      </c>
      <c r="C42" s="62"/>
      <c r="D42" s="106" t="s">
        <v>263</v>
      </c>
      <c r="E42" s="39">
        <f>SUM(E43)</f>
        <v>10000</v>
      </c>
      <c r="F42" s="39">
        <f>SUM(F43)</f>
        <v>10000</v>
      </c>
      <c r="G42" s="39"/>
      <c r="H42" s="29"/>
      <c r="I42" t="s">
        <v>197</v>
      </c>
    </row>
    <row r="43" spans="1:8" ht="16.5" customHeight="1" thickBot="1">
      <c r="A43" s="57"/>
      <c r="B43" s="58"/>
      <c r="C43" s="77">
        <v>570</v>
      </c>
      <c r="D43" s="246" t="s">
        <v>321</v>
      </c>
      <c r="E43" s="41">
        <v>10000</v>
      </c>
      <c r="F43" s="41">
        <v>10000</v>
      </c>
      <c r="G43" s="41"/>
      <c r="H43" s="41"/>
    </row>
    <row r="44" spans="1:8" ht="39" customHeight="1" thickBot="1">
      <c r="A44" s="110">
        <v>756</v>
      </c>
      <c r="B44" s="111"/>
      <c r="C44" s="112"/>
      <c r="D44" s="244" t="s">
        <v>335</v>
      </c>
      <c r="E44" s="113">
        <f>E45+E48+E55+E66+E72+E75</f>
        <v>30171767</v>
      </c>
      <c r="F44" s="113">
        <f>F45+F48+F55+F66+F72+F75</f>
        <v>31976453</v>
      </c>
      <c r="G44" s="328"/>
      <c r="H44" s="114"/>
    </row>
    <row r="45" spans="1:8" ht="18.75" customHeight="1">
      <c r="A45" s="51"/>
      <c r="B45" s="52">
        <v>75601</v>
      </c>
      <c r="C45" s="53"/>
      <c r="D45" s="245" t="s">
        <v>348</v>
      </c>
      <c r="E45" s="40">
        <f>SUM(E46:E47)</f>
        <v>40335</v>
      </c>
      <c r="F45" s="40">
        <f>SUM(F46:F47)</f>
        <v>40000</v>
      </c>
      <c r="G45" s="40"/>
      <c r="H45" s="42"/>
    </row>
    <row r="46" spans="1:8" ht="26.25" customHeight="1">
      <c r="A46" s="51"/>
      <c r="B46" s="52"/>
      <c r="C46" s="76">
        <v>350</v>
      </c>
      <c r="D46" s="103" t="s">
        <v>349</v>
      </c>
      <c r="E46" s="29">
        <v>40000</v>
      </c>
      <c r="F46" s="29">
        <v>40000</v>
      </c>
      <c r="G46" s="29"/>
      <c r="H46" s="29"/>
    </row>
    <row r="47" spans="1:8" ht="18" customHeight="1">
      <c r="A47" s="51"/>
      <c r="B47" s="52"/>
      <c r="C47" s="76">
        <v>910</v>
      </c>
      <c r="D47" s="103" t="s">
        <v>346</v>
      </c>
      <c r="E47" s="29">
        <v>335</v>
      </c>
      <c r="F47" s="29"/>
      <c r="G47" s="29"/>
      <c r="H47" s="29"/>
    </row>
    <row r="48" spans="1:10" ht="38.25" customHeight="1">
      <c r="A48" s="54"/>
      <c r="B48" s="56">
        <v>75615</v>
      </c>
      <c r="C48" s="62"/>
      <c r="D48" s="106" t="s">
        <v>315</v>
      </c>
      <c r="E48" s="39">
        <f>SUM(E49:E54)</f>
        <v>8314950</v>
      </c>
      <c r="F48" s="39">
        <f>SUM(F49:F54)</f>
        <v>8631270</v>
      </c>
      <c r="G48" s="39"/>
      <c r="H48" s="29"/>
      <c r="J48" t="s">
        <v>197</v>
      </c>
    </row>
    <row r="49" spans="1:8" ht="16.5" customHeight="1">
      <c r="A49" s="54"/>
      <c r="B49" s="55"/>
      <c r="C49" s="76">
        <v>310</v>
      </c>
      <c r="D49" s="103" t="s">
        <v>322</v>
      </c>
      <c r="E49" s="29">
        <v>7995000</v>
      </c>
      <c r="F49" s="29">
        <v>8315000</v>
      </c>
      <c r="G49" s="29"/>
      <c r="H49" s="29"/>
    </row>
    <row r="50" spans="1:8" ht="16.5" customHeight="1">
      <c r="A50" s="54"/>
      <c r="B50" s="55"/>
      <c r="C50" s="76">
        <v>320</v>
      </c>
      <c r="D50" s="103" t="s">
        <v>323</v>
      </c>
      <c r="E50" s="29">
        <v>5700</v>
      </c>
      <c r="F50" s="29">
        <v>5870</v>
      </c>
      <c r="G50" s="29"/>
      <c r="H50" s="29"/>
    </row>
    <row r="51" spans="1:8" ht="16.5" customHeight="1">
      <c r="A51" s="54"/>
      <c r="B51" s="55"/>
      <c r="C51" s="76">
        <v>330</v>
      </c>
      <c r="D51" s="103" t="s">
        <v>324</v>
      </c>
      <c r="E51" s="29">
        <v>46750</v>
      </c>
      <c r="F51" s="132">
        <v>48400</v>
      </c>
      <c r="G51" s="132"/>
      <c r="H51" s="29"/>
    </row>
    <row r="52" spans="1:8" ht="16.5" customHeight="1">
      <c r="A52" s="54"/>
      <c r="B52" s="55"/>
      <c r="C52" s="76">
        <v>340</v>
      </c>
      <c r="D52" s="103" t="s">
        <v>325</v>
      </c>
      <c r="E52" s="29">
        <v>175000</v>
      </c>
      <c r="F52" s="29">
        <v>182000</v>
      </c>
      <c r="G52" s="29"/>
      <c r="H52" s="29"/>
    </row>
    <row r="53" spans="1:8" ht="16.5" customHeight="1">
      <c r="A53" s="54"/>
      <c r="B53" s="55"/>
      <c r="C53" s="76">
        <v>500</v>
      </c>
      <c r="D53" s="103" t="s">
        <v>267</v>
      </c>
      <c r="E53" s="29">
        <v>30000</v>
      </c>
      <c r="F53" s="29">
        <v>30000</v>
      </c>
      <c r="G53" s="29"/>
      <c r="H53" s="29"/>
    </row>
    <row r="54" spans="1:10" ht="18.75" customHeight="1">
      <c r="A54" s="54"/>
      <c r="B54" s="55"/>
      <c r="C54" s="76">
        <v>910</v>
      </c>
      <c r="D54" s="103" t="s">
        <v>346</v>
      </c>
      <c r="E54" s="29">
        <v>62500</v>
      </c>
      <c r="F54" s="29">
        <v>50000</v>
      </c>
      <c r="G54" s="29"/>
      <c r="H54" s="29"/>
      <c r="J54" t="s">
        <v>197</v>
      </c>
    </row>
    <row r="55" spans="1:8" ht="36.75" customHeight="1">
      <c r="A55" s="54"/>
      <c r="B55" s="56">
        <v>75616</v>
      </c>
      <c r="C55" s="76"/>
      <c r="D55" s="106" t="s">
        <v>316</v>
      </c>
      <c r="E55" s="39">
        <f>SUM(E56:E65)</f>
        <v>4185030</v>
      </c>
      <c r="F55" s="39">
        <f>SUM(F56:F65)</f>
        <v>4205150</v>
      </c>
      <c r="G55" s="39"/>
      <c r="H55" s="39"/>
    </row>
    <row r="56" spans="1:8" ht="16.5" customHeight="1">
      <c r="A56" s="54"/>
      <c r="B56" s="56"/>
      <c r="C56" s="76">
        <v>310</v>
      </c>
      <c r="D56" s="103" t="s">
        <v>322</v>
      </c>
      <c r="E56" s="29">
        <v>2100000</v>
      </c>
      <c r="F56" s="29">
        <v>2184000</v>
      </c>
      <c r="G56" s="29"/>
      <c r="H56" s="29"/>
    </row>
    <row r="57" spans="1:8" ht="16.5" customHeight="1">
      <c r="A57" s="54"/>
      <c r="B57" s="56"/>
      <c r="C57" s="76">
        <v>320</v>
      </c>
      <c r="D57" s="103" t="s">
        <v>323</v>
      </c>
      <c r="E57" s="29">
        <v>480000</v>
      </c>
      <c r="F57" s="29">
        <v>494400</v>
      </c>
      <c r="G57" s="29"/>
      <c r="H57" s="29"/>
    </row>
    <row r="58" spans="1:8" ht="16.5" customHeight="1">
      <c r="A58" s="54"/>
      <c r="B58" s="56"/>
      <c r="C58" s="76">
        <v>330</v>
      </c>
      <c r="D58" s="103" t="s">
        <v>324</v>
      </c>
      <c r="E58" s="29">
        <v>50000</v>
      </c>
      <c r="F58" s="29">
        <v>51750</v>
      </c>
      <c r="G58" s="29"/>
      <c r="H58" s="29"/>
    </row>
    <row r="59" spans="1:8" ht="16.5" customHeight="1">
      <c r="A59" s="54"/>
      <c r="B59" s="56"/>
      <c r="C59" s="76">
        <v>340</v>
      </c>
      <c r="D59" s="103" t="s">
        <v>325</v>
      </c>
      <c r="E59" s="29">
        <v>610000</v>
      </c>
      <c r="F59" s="29">
        <v>550000</v>
      </c>
      <c r="G59" s="29"/>
      <c r="H59" s="29"/>
    </row>
    <row r="60" spans="1:8" ht="16.5" customHeight="1">
      <c r="A60" s="54"/>
      <c r="B60" s="56"/>
      <c r="C60" s="76">
        <v>360</v>
      </c>
      <c r="D60" s="103" t="s">
        <v>326</v>
      </c>
      <c r="E60" s="29">
        <v>65000</v>
      </c>
      <c r="F60" s="29">
        <v>50000</v>
      </c>
      <c r="G60" s="29"/>
      <c r="H60" s="29"/>
    </row>
    <row r="61" spans="1:8" ht="16.5" customHeight="1">
      <c r="A61" s="54"/>
      <c r="B61" s="56"/>
      <c r="C61" s="76">
        <v>370</v>
      </c>
      <c r="D61" s="103" t="s">
        <v>22</v>
      </c>
      <c r="E61" s="29"/>
      <c r="F61" s="29">
        <v>5000</v>
      </c>
      <c r="G61" s="29"/>
      <c r="H61" s="29"/>
    </row>
    <row r="62" spans="1:8" ht="16.5" customHeight="1">
      <c r="A62" s="54"/>
      <c r="B62" s="56"/>
      <c r="C62" s="76">
        <v>430</v>
      </c>
      <c r="D62" s="103" t="s">
        <v>327</v>
      </c>
      <c r="E62" s="29">
        <v>250000</v>
      </c>
      <c r="F62" s="29">
        <v>250000</v>
      </c>
      <c r="G62" s="29"/>
      <c r="H62" s="29"/>
    </row>
    <row r="63" spans="1:8" ht="16.5" customHeight="1">
      <c r="A63" s="54"/>
      <c r="B63" s="56"/>
      <c r="C63" s="76">
        <v>500</v>
      </c>
      <c r="D63" s="103" t="s">
        <v>267</v>
      </c>
      <c r="E63" s="29">
        <v>600000</v>
      </c>
      <c r="F63" s="29">
        <v>600000</v>
      </c>
      <c r="G63" s="29"/>
      <c r="H63" s="29"/>
    </row>
    <row r="64" spans="1:8" ht="16.5" customHeight="1">
      <c r="A64" s="54"/>
      <c r="B64" s="56"/>
      <c r="C64" s="76">
        <v>560</v>
      </c>
      <c r="D64" s="103" t="s">
        <v>539</v>
      </c>
      <c r="E64" s="29">
        <v>30</v>
      </c>
      <c r="F64" s="29"/>
      <c r="G64" s="29"/>
      <c r="H64" s="29"/>
    </row>
    <row r="65" spans="1:8" ht="17.25" customHeight="1">
      <c r="A65" s="54"/>
      <c r="B65" s="56"/>
      <c r="C65" s="76">
        <v>910</v>
      </c>
      <c r="D65" s="103" t="s">
        <v>346</v>
      </c>
      <c r="E65" s="29">
        <v>30000</v>
      </c>
      <c r="F65" s="29">
        <v>20000</v>
      </c>
      <c r="G65" s="29"/>
      <c r="H65" s="29"/>
    </row>
    <row r="66" spans="1:9" ht="24.75" customHeight="1">
      <c r="A66" s="54"/>
      <c r="B66" s="56">
        <v>75618</v>
      </c>
      <c r="C66" s="62"/>
      <c r="D66" s="106" t="s">
        <v>350</v>
      </c>
      <c r="E66" s="39">
        <f>SUM(E67:E71)</f>
        <v>867908</v>
      </c>
      <c r="F66" s="39">
        <f>SUM(F67:F71)</f>
        <v>814000</v>
      </c>
      <c r="G66" s="39"/>
      <c r="H66" s="39"/>
      <c r="I66" s="7"/>
    </row>
    <row r="67" spans="1:9" ht="16.5" customHeight="1">
      <c r="A67" s="54"/>
      <c r="B67" s="55"/>
      <c r="C67" s="76">
        <v>410</v>
      </c>
      <c r="D67" s="102" t="s">
        <v>309</v>
      </c>
      <c r="E67" s="29">
        <v>750000</v>
      </c>
      <c r="F67" s="29">
        <v>700000</v>
      </c>
      <c r="G67" s="29"/>
      <c r="H67" s="39"/>
      <c r="I67" s="1"/>
    </row>
    <row r="68" spans="1:9" ht="16.5" customHeight="1">
      <c r="A68" s="54"/>
      <c r="B68" s="55"/>
      <c r="C68" s="76">
        <v>460</v>
      </c>
      <c r="D68" s="102" t="s">
        <v>312</v>
      </c>
      <c r="E68" s="29">
        <v>5450</v>
      </c>
      <c r="F68" s="29">
        <v>4000</v>
      </c>
      <c r="G68" s="29"/>
      <c r="H68" s="39"/>
      <c r="I68" s="1"/>
    </row>
    <row r="69" spans="1:9" ht="24.75" customHeight="1">
      <c r="A69" s="54"/>
      <c r="B69" s="55"/>
      <c r="C69" s="76">
        <v>490</v>
      </c>
      <c r="D69" s="103" t="s">
        <v>388</v>
      </c>
      <c r="E69" s="29">
        <v>17000</v>
      </c>
      <c r="F69" s="29">
        <v>15000</v>
      </c>
      <c r="G69" s="29"/>
      <c r="H69" s="39"/>
      <c r="I69" s="1" t="s">
        <v>24</v>
      </c>
    </row>
    <row r="70" spans="1:9" ht="17.25" customHeight="1">
      <c r="A70" s="54"/>
      <c r="B70" s="55"/>
      <c r="C70" s="76">
        <v>910</v>
      </c>
      <c r="D70" s="103" t="s">
        <v>346</v>
      </c>
      <c r="E70" s="29">
        <v>55</v>
      </c>
      <c r="F70" s="29"/>
      <c r="G70" s="29"/>
      <c r="H70" s="39"/>
      <c r="I70" s="1"/>
    </row>
    <row r="71" spans="1:9" ht="24.75" customHeight="1">
      <c r="A71" s="54"/>
      <c r="B71" s="55"/>
      <c r="C71" s="76">
        <v>2680</v>
      </c>
      <c r="D71" s="103" t="s">
        <v>387</v>
      </c>
      <c r="E71" s="29">
        <v>95403</v>
      </c>
      <c r="F71" s="29">
        <v>95000</v>
      </c>
      <c r="G71" s="29"/>
      <c r="H71" s="39"/>
      <c r="I71" s="1"/>
    </row>
    <row r="72" spans="1:8" ht="16.5" customHeight="1">
      <c r="A72" s="54"/>
      <c r="B72" s="56">
        <v>75619</v>
      </c>
      <c r="C72" s="62"/>
      <c r="D72" s="106" t="s">
        <v>247</v>
      </c>
      <c r="E72" s="39">
        <f>SUM(E73:E74)</f>
        <v>20000</v>
      </c>
      <c r="F72" s="39">
        <f>SUM(F73:F74)</f>
        <v>20000</v>
      </c>
      <c r="G72" s="39"/>
      <c r="H72" s="29"/>
    </row>
    <row r="73" spans="1:8" ht="15" customHeight="1">
      <c r="A73" s="57"/>
      <c r="B73" s="58"/>
      <c r="C73" s="77">
        <v>690</v>
      </c>
      <c r="D73" s="246" t="s">
        <v>246</v>
      </c>
      <c r="E73" s="41">
        <v>10000</v>
      </c>
      <c r="F73" s="41">
        <v>10000</v>
      </c>
      <c r="G73" s="41"/>
      <c r="H73" s="41"/>
    </row>
    <row r="74" spans="1:8" ht="16.5" customHeight="1">
      <c r="A74" s="57"/>
      <c r="B74" s="58"/>
      <c r="C74" s="77">
        <v>970</v>
      </c>
      <c r="D74" s="246" t="s">
        <v>245</v>
      </c>
      <c r="E74" s="41">
        <v>10000</v>
      </c>
      <c r="F74" s="41">
        <v>10000</v>
      </c>
      <c r="G74" s="41"/>
      <c r="H74" s="41"/>
    </row>
    <row r="75" spans="1:8" s="1" customFormat="1" ht="22.5">
      <c r="A75" s="54"/>
      <c r="B75" s="56">
        <v>75621</v>
      </c>
      <c r="C75" s="62"/>
      <c r="D75" s="106" t="s">
        <v>264</v>
      </c>
      <c r="E75" s="39">
        <f>SUM(E76+E77)</f>
        <v>16743544</v>
      </c>
      <c r="F75" s="39">
        <f>SUM(F76+F77)</f>
        <v>18266033</v>
      </c>
      <c r="G75" s="39"/>
      <c r="H75" s="39"/>
    </row>
    <row r="76" spans="1:8" s="1" customFormat="1" ht="16.5" customHeight="1">
      <c r="A76" s="54"/>
      <c r="B76" s="55"/>
      <c r="C76" s="76">
        <v>10</v>
      </c>
      <c r="D76" s="103" t="s">
        <v>248</v>
      </c>
      <c r="E76" s="29">
        <v>15043544</v>
      </c>
      <c r="F76" s="29">
        <v>16566033</v>
      </c>
      <c r="G76" s="29"/>
      <c r="H76" s="29"/>
    </row>
    <row r="77" spans="1:8" ht="16.5" customHeight="1" thickBot="1">
      <c r="A77" s="63"/>
      <c r="B77" s="61"/>
      <c r="C77" s="78">
        <v>20</v>
      </c>
      <c r="D77" s="248" t="s">
        <v>268</v>
      </c>
      <c r="E77" s="44">
        <v>1700000</v>
      </c>
      <c r="F77" s="44">
        <v>1700000</v>
      </c>
      <c r="G77" s="44"/>
      <c r="H77" s="45"/>
    </row>
    <row r="78" spans="1:8" ht="16.5" customHeight="1" thickBot="1">
      <c r="A78" s="110">
        <v>758</v>
      </c>
      <c r="B78" s="111"/>
      <c r="C78" s="112"/>
      <c r="D78" s="243" t="s">
        <v>199</v>
      </c>
      <c r="E78" s="113">
        <f>+E79+E81+E83+E85+E87</f>
        <v>22618382</v>
      </c>
      <c r="F78" s="113">
        <f>+F79+F81+F83+F85+F87</f>
        <v>22990437</v>
      </c>
      <c r="G78" s="328"/>
      <c r="H78" s="114"/>
    </row>
    <row r="79" spans="1:8" ht="22.5">
      <c r="A79" s="51"/>
      <c r="B79" s="52">
        <v>75801</v>
      </c>
      <c r="C79" s="53"/>
      <c r="D79" s="245" t="s">
        <v>250</v>
      </c>
      <c r="E79" s="40">
        <f>+E80</f>
        <v>20976228</v>
      </c>
      <c r="F79" s="40">
        <f>+F80</f>
        <v>21855131</v>
      </c>
      <c r="G79" s="40"/>
      <c r="H79" s="40"/>
    </row>
    <row r="80" spans="1:9" ht="16.5" customHeight="1">
      <c r="A80" s="54"/>
      <c r="B80" s="55"/>
      <c r="C80" s="76">
        <v>2920</v>
      </c>
      <c r="D80" s="103" t="s">
        <v>249</v>
      </c>
      <c r="E80" s="29">
        <v>20976228</v>
      </c>
      <c r="F80" s="29">
        <v>21855131</v>
      </c>
      <c r="G80" s="29"/>
      <c r="H80" s="39"/>
      <c r="I80" t="s">
        <v>197</v>
      </c>
    </row>
    <row r="81" spans="1:8" ht="16.5" customHeight="1">
      <c r="A81" s="54"/>
      <c r="B81" s="125">
        <v>75807</v>
      </c>
      <c r="C81" s="126"/>
      <c r="D81" s="316" t="s">
        <v>418</v>
      </c>
      <c r="E81" s="127">
        <f>SUM(E82)</f>
        <v>1280817</v>
      </c>
      <c r="F81" s="127">
        <f>SUM(F82)</f>
        <v>796653</v>
      </c>
      <c r="G81" s="127"/>
      <c r="H81" s="127"/>
    </row>
    <row r="82" spans="1:8" ht="16.5" customHeight="1">
      <c r="A82" s="54"/>
      <c r="B82" s="55"/>
      <c r="C82" s="76">
        <v>2920</v>
      </c>
      <c r="D82" s="103" t="s">
        <v>249</v>
      </c>
      <c r="E82" s="29">
        <v>1280817</v>
      </c>
      <c r="F82" s="29">
        <v>796653</v>
      </c>
      <c r="G82" s="29"/>
      <c r="H82" s="39"/>
    </row>
    <row r="83" spans="1:9" ht="18.75" customHeight="1">
      <c r="A83" s="64"/>
      <c r="B83" s="56">
        <v>75809</v>
      </c>
      <c r="C83" s="62"/>
      <c r="D83" s="106" t="s">
        <v>351</v>
      </c>
      <c r="E83" s="39">
        <f>SUM(E84)</f>
        <v>19492</v>
      </c>
      <c r="F83" s="39">
        <f>SUM(F84)</f>
        <v>0</v>
      </c>
      <c r="G83" s="39"/>
      <c r="H83" s="29"/>
      <c r="I83" t="s">
        <v>197</v>
      </c>
    </row>
    <row r="84" spans="1:8" ht="24.75" customHeight="1">
      <c r="A84" s="64"/>
      <c r="B84" s="55"/>
      <c r="C84" s="480">
        <v>2910</v>
      </c>
      <c r="D84" s="103" t="s">
        <v>390</v>
      </c>
      <c r="E84" s="29">
        <v>19492</v>
      </c>
      <c r="F84" s="29">
        <v>0</v>
      </c>
      <c r="G84" s="29"/>
      <c r="H84" s="29"/>
    </row>
    <row r="85" spans="1:8" ht="15" customHeight="1">
      <c r="A85" s="64"/>
      <c r="B85" s="56">
        <v>75814</v>
      </c>
      <c r="C85" s="62"/>
      <c r="D85" s="101" t="s">
        <v>219</v>
      </c>
      <c r="E85" s="127">
        <f>SUM(E86)</f>
        <v>180000</v>
      </c>
      <c r="F85" s="127">
        <f>SUM(F86)</f>
        <v>150000</v>
      </c>
      <c r="G85" s="127"/>
      <c r="H85" s="127"/>
    </row>
    <row r="86" spans="1:8" ht="15.75" customHeight="1">
      <c r="A86" s="64"/>
      <c r="B86" s="58"/>
      <c r="C86" s="77">
        <v>920</v>
      </c>
      <c r="D86" s="226" t="s">
        <v>261</v>
      </c>
      <c r="E86" s="29">
        <v>180000</v>
      </c>
      <c r="F86" s="29">
        <v>150000</v>
      </c>
      <c r="G86" s="29"/>
      <c r="H86" s="29"/>
    </row>
    <row r="87" spans="1:8" ht="16.5" customHeight="1">
      <c r="A87" s="64"/>
      <c r="B87" s="125">
        <v>75831</v>
      </c>
      <c r="C87" s="126"/>
      <c r="D87" s="106" t="s">
        <v>341</v>
      </c>
      <c r="E87" s="127">
        <f>SUM(E88)</f>
        <v>161845</v>
      </c>
      <c r="F87" s="127">
        <f>SUM(F88)</f>
        <v>188653</v>
      </c>
      <c r="G87" s="127"/>
      <c r="H87" s="127"/>
    </row>
    <row r="88" spans="1:8" ht="16.5" customHeight="1" thickBot="1">
      <c r="A88" s="64"/>
      <c r="B88" s="55"/>
      <c r="C88" s="76">
        <v>2920</v>
      </c>
      <c r="D88" s="103" t="s">
        <v>249</v>
      </c>
      <c r="E88" s="29">
        <v>161845</v>
      </c>
      <c r="F88" s="29">
        <v>188653</v>
      </c>
      <c r="G88" s="29"/>
      <c r="H88" s="29"/>
    </row>
    <row r="89" spans="1:8" ht="16.5" customHeight="1" thickBot="1">
      <c r="A89" s="110">
        <v>801</v>
      </c>
      <c r="B89" s="111"/>
      <c r="C89" s="112"/>
      <c r="D89" s="243" t="s">
        <v>192</v>
      </c>
      <c r="E89" s="113">
        <f>+E90+E100+E106+E112+E115+E118</f>
        <v>3639008</v>
      </c>
      <c r="F89" s="113">
        <f>+F90+F100+F106+F112+F115</f>
        <v>2051487</v>
      </c>
      <c r="G89" s="113">
        <f>+G90+G100+G106+G112+G115</f>
        <v>0</v>
      </c>
      <c r="H89" s="114"/>
    </row>
    <row r="90" spans="1:8" ht="16.5" customHeight="1">
      <c r="A90" s="51"/>
      <c r="B90" s="52">
        <v>80101</v>
      </c>
      <c r="C90" s="53"/>
      <c r="D90" s="242" t="s">
        <v>220</v>
      </c>
      <c r="E90" s="40">
        <f>SUM(E91:E99)</f>
        <v>1523843</v>
      </c>
      <c r="F90" s="40">
        <f>SUM(F91:F98)</f>
        <v>134300</v>
      </c>
      <c r="G90" s="40">
        <f>SUM(G91:G98)</f>
        <v>0</v>
      </c>
      <c r="H90" s="40"/>
    </row>
    <row r="91" spans="1:8" ht="45.75" customHeight="1">
      <c r="A91" s="54"/>
      <c r="B91" s="55"/>
      <c r="C91" s="76">
        <v>750</v>
      </c>
      <c r="D91" s="103" t="s">
        <v>318</v>
      </c>
      <c r="E91" s="29">
        <v>94923</v>
      </c>
      <c r="F91" s="29">
        <v>92000</v>
      </c>
      <c r="G91" s="29"/>
      <c r="H91" s="29"/>
    </row>
    <row r="92" spans="1:8" ht="16.5" customHeight="1">
      <c r="A92" s="54"/>
      <c r="B92" s="55"/>
      <c r="C92" s="76">
        <v>830</v>
      </c>
      <c r="D92" s="103" t="s">
        <v>244</v>
      </c>
      <c r="E92" s="29">
        <v>23457</v>
      </c>
      <c r="F92" s="29">
        <f>7000</f>
        <v>7000</v>
      </c>
      <c r="G92" s="29"/>
      <c r="H92" s="29"/>
    </row>
    <row r="93" spans="1:8" ht="16.5" customHeight="1">
      <c r="A93" s="54"/>
      <c r="B93" s="55"/>
      <c r="C93" s="480">
        <v>870</v>
      </c>
      <c r="D93" s="103" t="s">
        <v>333</v>
      </c>
      <c r="E93" s="29">
        <v>656</v>
      </c>
      <c r="F93" s="29"/>
      <c r="G93" s="29"/>
      <c r="H93" s="29"/>
    </row>
    <row r="94" spans="1:8" ht="16.5" customHeight="1">
      <c r="A94" s="54"/>
      <c r="B94" s="55"/>
      <c r="C94" s="76">
        <v>920</v>
      </c>
      <c r="D94" s="102" t="s">
        <v>261</v>
      </c>
      <c r="E94" s="29">
        <v>32350</v>
      </c>
      <c r="F94" s="29">
        <v>31300</v>
      </c>
      <c r="G94" s="29"/>
      <c r="H94" s="29"/>
    </row>
    <row r="95" spans="1:8" ht="18" customHeight="1">
      <c r="A95" s="54"/>
      <c r="B95" s="55"/>
      <c r="C95" s="76">
        <v>960</v>
      </c>
      <c r="D95" s="103" t="s">
        <v>345</v>
      </c>
      <c r="E95" s="29">
        <v>133830</v>
      </c>
      <c r="F95" s="29">
        <f>4000</f>
        <v>4000</v>
      </c>
      <c r="G95" s="29"/>
      <c r="H95" s="29"/>
    </row>
    <row r="96" spans="1:8" ht="16.5" customHeight="1">
      <c r="A96" s="54"/>
      <c r="B96" s="55"/>
      <c r="C96" s="76">
        <v>970</v>
      </c>
      <c r="D96" s="102" t="s">
        <v>245</v>
      </c>
      <c r="E96" s="29">
        <v>7510</v>
      </c>
      <c r="F96" s="29"/>
      <c r="G96" s="29"/>
      <c r="H96" s="29"/>
    </row>
    <row r="97" spans="1:8" ht="25.5" customHeight="1">
      <c r="A97" s="54"/>
      <c r="B97" s="55"/>
      <c r="C97" s="76">
        <v>2030</v>
      </c>
      <c r="D97" s="103" t="s">
        <v>328</v>
      </c>
      <c r="E97" s="29">
        <v>70117</v>
      </c>
      <c r="F97" s="39"/>
      <c r="G97" s="39"/>
      <c r="H97" s="39"/>
    </row>
    <row r="98" spans="1:8" ht="35.25" customHeight="1">
      <c r="A98" s="54"/>
      <c r="B98" s="55"/>
      <c r="C98" s="129">
        <v>6290</v>
      </c>
      <c r="D98" s="103" t="s">
        <v>386</v>
      </c>
      <c r="E98" s="29">
        <v>161000</v>
      </c>
      <c r="F98" s="128"/>
      <c r="G98" s="128"/>
      <c r="H98" s="39"/>
    </row>
    <row r="99" spans="1:8" ht="24" customHeight="1">
      <c r="A99" s="54"/>
      <c r="B99" s="55"/>
      <c r="C99" s="129">
        <v>6330</v>
      </c>
      <c r="D99" s="103" t="s">
        <v>0</v>
      </c>
      <c r="E99" s="29">
        <v>1000000</v>
      </c>
      <c r="F99" s="128"/>
      <c r="G99" s="128"/>
      <c r="H99" s="39"/>
    </row>
    <row r="100" spans="1:8" ht="16.5" customHeight="1">
      <c r="A100" s="54"/>
      <c r="B100" s="56">
        <v>80104</v>
      </c>
      <c r="C100" s="62"/>
      <c r="D100" s="101" t="s">
        <v>307</v>
      </c>
      <c r="E100" s="39">
        <f>SUM(E101:E105)</f>
        <v>737799</v>
      </c>
      <c r="F100" s="39">
        <f>SUM(F101:F102)</f>
        <v>706512</v>
      </c>
      <c r="G100" s="39">
        <f>SUM(G101:G102)</f>
        <v>0</v>
      </c>
      <c r="H100" s="39"/>
    </row>
    <row r="101" spans="1:8" ht="15" customHeight="1">
      <c r="A101" s="54"/>
      <c r="B101" s="55"/>
      <c r="C101" s="76">
        <v>830</v>
      </c>
      <c r="D101" s="102" t="s">
        <v>244</v>
      </c>
      <c r="E101" s="29">
        <v>728912</v>
      </c>
      <c r="F101" s="29">
        <v>703608</v>
      </c>
      <c r="G101" s="29"/>
      <c r="H101" s="39"/>
    </row>
    <row r="102" spans="1:8" ht="14.25" customHeight="1">
      <c r="A102" s="54"/>
      <c r="B102" s="55"/>
      <c r="C102" s="76">
        <v>920</v>
      </c>
      <c r="D102" s="102" t="s">
        <v>261</v>
      </c>
      <c r="E102" s="29">
        <v>5270</v>
      </c>
      <c r="F102" s="29">
        <v>2904</v>
      </c>
      <c r="G102" s="29"/>
      <c r="H102" s="39"/>
    </row>
    <row r="103" spans="1:8" ht="15.75" customHeight="1">
      <c r="A103" s="54"/>
      <c r="B103" s="55"/>
      <c r="C103" s="76">
        <v>960</v>
      </c>
      <c r="D103" s="103" t="s">
        <v>345</v>
      </c>
      <c r="E103" s="29">
        <v>1300</v>
      </c>
      <c r="F103" s="29"/>
      <c r="G103" s="29"/>
      <c r="H103" s="39"/>
    </row>
    <row r="104" spans="1:8" ht="16.5" customHeight="1">
      <c r="A104" s="54"/>
      <c r="B104" s="55"/>
      <c r="C104" s="76">
        <v>970</v>
      </c>
      <c r="D104" s="102" t="s">
        <v>245</v>
      </c>
      <c r="E104" s="29">
        <v>1343</v>
      </c>
      <c r="F104" s="29"/>
      <c r="G104" s="29"/>
      <c r="H104" s="39"/>
    </row>
    <row r="105" spans="1:8" ht="36.75" customHeight="1">
      <c r="A105" s="54"/>
      <c r="B105" s="55"/>
      <c r="C105" s="76">
        <v>2310</v>
      </c>
      <c r="D105" s="246" t="s">
        <v>329</v>
      </c>
      <c r="E105" s="29">
        <v>974</v>
      </c>
      <c r="F105" s="29"/>
      <c r="G105" s="29"/>
      <c r="H105" s="39"/>
    </row>
    <row r="106" spans="1:8" ht="16.5" customHeight="1">
      <c r="A106" s="54"/>
      <c r="B106" s="56">
        <v>80110</v>
      </c>
      <c r="C106" s="62"/>
      <c r="D106" s="101" t="s">
        <v>193</v>
      </c>
      <c r="E106" s="39">
        <f>SUM(E107:E111)</f>
        <v>65175</v>
      </c>
      <c r="F106" s="39">
        <f>SUM(F107:F111)</f>
        <v>49900</v>
      </c>
      <c r="G106" s="39"/>
      <c r="H106" s="29"/>
    </row>
    <row r="107" spans="1:9" ht="47.25" customHeight="1">
      <c r="A107" s="54"/>
      <c r="B107" s="55"/>
      <c r="C107" s="76">
        <v>750</v>
      </c>
      <c r="D107" s="103" t="s">
        <v>318</v>
      </c>
      <c r="E107" s="29">
        <v>44770</v>
      </c>
      <c r="F107" s="29">
        <v>33000</v>
      </c>
      <c r="G107" s="29"/>
      <c r="H107" s="39" t="s">
        <v>197</v>
      </c>
      <c r="I107" t="s">
        <v>197</v>
      </c>
    </row>
    <row r="108" spans="1:8" ht="15.75" customHeight="1">
      <c r="A108" s="54"/>
      <c r="B108" s="55"/>
      <c r="C108" s="76">
        <v>830</v>
      </c>
      <c r="D108" s="102" t="s">
        <v>244</v>
      </c>
      <c r="E108" s="29">
        <v>12734</v>
      </c>
      <c r="F108" s="29">
        <f>13000</f>
        <v>13000</v>
      </c>
      <c r="G108" s="29"/>
      <c r="H108" s="39"/>
    </row>
    <row r="109" spans="1:8" ht="15.75" customHeight="1">
      <c r="A109" s="54"/>
      <c r="B109" s="55"/>
      <c r="C109" s="76">
        <v>920</v>
      </c>
      <c r="D109" s="102" t="s">
        <v>261</v>
      </c>
      <c r="E109" s="29">
        <v>5310</v>
      </c>
      <c r="F109" s="29">
        <v>3000</v>
      </c>
      <c r="G109" s="29"/>
      <c r="H109" s="29"/>
    </row>
    <row r="110" spans="1:8" ht="16.5" customHeight="1">
      <c r="A110" s="54"/>
      <c r="B110" s="55"/>
      <c r="C110" s="76">
        <v>960</v>
      </c>
      <c r="D110" s="103" t="s">
        <v>345</v>
      </c>
      <c r="E110" s="29">
        <v>800</v>
      </c>
      <c r="F110" s="29"/>
      <c r="G110" s="29"/>
      <c r="H110" s="29"/>
    </row>
    <row r="111" spans="1:8" ht="16.5" customHeight="1">
      <c r="A111" s="54"/>
      <c r="B111" s="55"/>
      <c r="C111" s="76">
        <v>970</v>
      </c>
      <c r="D111" s="102" t="s">
        <v>245</v>
      </c>
      <c r="E111" s="29">
        <v>1561</v>
      </c>
      <c r="F111" s="29">
        <f>900</f>
        <v>900</v>
      </c>
      <c r="G111" s="29"/>
      <c r="H111" s="29"/>
    </row>
    <row r="112" spans="1:8" ht="18" customHeight="1">
      <c r="A112" s="54"/>
      <c r="B112" s="136">
        <v>80114</v>
      </c>
      <c r="C112" s="137"/>
      <c r="D112" s="249" t="s">
        <v>342</v>
      </c>
      <c r="E112" s="127">
        <f>SUM(E113:E114)</f>
        <v>2500</v>
      </c>
      <c r="F112" s="127">
        <f>SUM(F113:F114)</f>
        <v>1000</v>
      </c>
      <c r="G112" s="127"/>
      <c r="H112" s="127"/>
    </row>
    <row r="113" spans="1:8" ht="16.5" customHeight="1">
      <c r="A113" s="54"/>
      <c r="B113" s="136"/>
      <c r="C113" s="76">
        <v>920</v>
      </c>
      <c r="D113" s="102" t="s">
        <v>261</v>
      </c>
      <c r="E113" s="128">
        <v>800</v>
      </c>
      <c r="F113" s="128">
        <v>1000</v>
      </c>
      <c r="G113" s="128"/>
      <c r="H113" s="128"/>
    </row>
    <row r="114" spans="1:10" ht="16.5" customHeight="1">
      <c r="A114" s="54"/>
      <c r="B114" s="55"/>
      <c r="C114" s="76">
        <v>960</v>
      </c>
      <c r="D114" s="103" t="s">
        <v>345</v>
      </c>
      <c r="E114" s="29">
        <v>1700</v>
      </c>
      <c r="F114" s="29"/>
      <c r="G114" s="29"/>
      <c r="H114" s="39"/>
      <c r="J114" t="s">
        <v>197</v>
      </c>
    </row>
    <row r="115" spans="1:8" ht="16.5" customHeight="1">
      <c r="A115" s="54"/>
      <c r="B115" s="125">
        <v>80148</v>
      </c>
      <c r="C115" s="126"/>
      <c r="D115" s="324" t="s">
        <v>420</v>
      </c>
      <c r="E115" s="127">
        <f>SUM(E116:E117)</f>
        <v>900618</v>
      </c>
      <c r="F115" s="127">
        <f>SUM(F116:F117)</f>
        <v>1159775</v>
      </c>
      <c r="G115" s="127"/>
      <c r="H115" s="127"/>
    </row>
    <row r="116" spans="1:8" ht="45.75" customHeight="1">
      <c r="A116" s="54"/>
      <c r="B116" s="55"/>
      <c r="C116" s="76">
        <v>750</v>
      </c>
      <c r="D116" s="103" t="s">
        <v>318</v>
      </c>
      <c r="E116" s="29">
        <v>1091</v>
      </c>
      <c r="F116" s="29">
        <f>500</f>
        <v>500</v>
      </c>
      <c r="G116" s="29"/>
      <c r="H116" s="39"/>
    </row>
    <row r="117" spans="1:8" ht="16.5" customHeight="1">
      <c r="A117" s="54"/>
      <c r="B117" s="55"/>
      <c r="C117" s="76">
        <v>830</v>
      </c>
      <c r="D117" s="102" t="s">
        <v>244</v>
      </c>
      <c r="E117" s="29">
        <v>899527</v>
      </c>
      <c r="F117" s="29">
        <v>1159275</v>
      </c>
      <c r="G117" s="29"/>
      <c r="H117" s="39"/>
    </row>
    <row r="118" spans="1:8" ht="16.5" customHeight="1">
      <c r="A118" s="54"/>
      <c r="B118" s="56">
        <v>80195</v>
      </c>
      <c r="C118" s="62"/>
      <c r="D118" s="101" t="s">
        <v>190</v>
      </c>
      <c r="E118" s="39">
        <f>SUM(E119:E119)</f>
        <v>409073</v>
      </c>
      <c r="F118" s="39" t="s">
        <v>197</v>
      </c>
      <c r="G118" s="39"/>
      <c r="H118" s="29"/>
    </row>
    <row r="119" spans="1:8" ht="26.25" customHeight="1" thickBot="1">
      <c r="A119" s="57"/>
      <c r="B119" s="58"/>
      <c r="C119" s="77">
        <v>2030</v>
      </c>
      <c r="D119" s="103" t="s">
        <v>328</v>
      </c>
      <c r="E119" s="41">
        <v>409073</v>
      </c>
      <c r="F119" s="43"/>
      <c r="G119" s="43"/>
      <c r="H119" s="43"/>
    </row>
    <row r="120" spans="1:8" ht="16.5" customHeight="1" thickBot="1">
      <c r="A120" s="110">
        <v>851</v>
      </c>
      <c r="B120" s="111"/>
      <c r="C120" s="112"/>
      <c r="D120" s="243" t="s">
        <v>194</v>
      </c>
      <c r="E120" s="113">
        <f>SUM(E121+E123+E127)</f>
        <v>614092</v>
      </c>
      <c r="F120" s="113">
        <f>SUM(F123)</f>
        <v>500000</v>
      </c>
      <c r="G120" s="328"/>
      <c r="H120" s="119"/>
    </row>
    <row r="121" spans="1:8" ht="16.5" customHeight="1">
      <c r="A121" s="574"/>
      <c r="B121" s="568">
        <v>85111</v>
      </c>
      <c r="C121" s="569"/>
      <c r="D121" s="570" t="s">
        <v>25</v>
      </c>
      <c r="E121" s="571">
        <f>SUM(E122)</f>
        <v>100000</v>
      </c>
      <c r="F121" s="571"/>
      <c r="G121" s="572"/>
      <c r="H121" s="571"/>
    </row>
    <row r="122" spans="1:9" ht="24.75" customHeight="1">
      <c r="A122" s="91"/>
      <c r="B122" s="88"/>
      <c r="C122" s="567">
        <v>6330</v>
      </c>
      <c r="D122" s="300" t="s">
        <v>0</v>
      </c>
      <c r="E122" s="189">
        <v>100000</v>
      </c>
      <c r="F122" s="189"/>
      <c r="G122" s="573"/>
      <c r="H122" s="189"/>
      <c r="I122" s="566"/>
    </row>
    <row r="123" spans="1:8" ht="16.5" customHeight="1">
      <c r="A123" s="51"/>
      <c r="B123" s="52">
        <v>85154</v>
      </c>
      <c r="C123" s="53"/>
      <c r="D123" s="242" t="s">
        <v>206</v>
      </c>
      <c r="E123" s="40">
        <f>SUM(E124:E126)</f>
        <v>511092</v>
      </c>
      <c r="F123" s="40">
        <f>SUM(F124)</f>
        <v>500000</v>
      </c>
      <c r="G123" s="40"/>
      <c r="H123" s="42"/>
    </row>
    <row r="124" spans="1:8" ht="16.5" customHeight="1">
      <c r="A124" s="54"/>
      <c r="B124" s="55"/>
      <c r="C124" s="76">
        <v>480</v>
      </c>
      <c r="D124" s="103" t="s">
        <v>331</v>
      </c>
      <c r="E124" s="29">
        <v>510000</v>
      </c>
      <c r="F124" s="29">
        <v>500000</v>
      </c>
      <c r="G124" s="29"/>
      <c r="H124" s="39"/>
    </row>
    <row r="125" spans="1:8" ht="24.75" customHeight="1">
      <c r="A125" s="54"/>
      <c r="B125" s="55"/>
      <c r="C125" s="481">
        <v>900</v>
      </c>
      <c r="D125" s="103" t="s">
        <v>423</v>
      </c>
      <c r="E125" s="29">
        <v>92</v>
      </c>
      <c r="F125" s="29"/>
      <c r="G125" s="29"/>
      <c r="H125" s="39"/>
    </row>
    <row r="126" spans="1:8" ht="27" customHeight="1">
      <c r="A126" s="54"/>
      <c r="B126" s="55"/>
      <c r="C126" s="481">
        <v>2910</v>
      </c>
      <c r="D126" s="103" t="s">
        <v>390</v>
      </c>
      <c r="E126" s="29">
        <v>1000</v>
      </c>
      <c r="F126" s="29"/>
      <c r="G126" s="29"/>
      <c r="H126" s="39"/>
    </row>
    <row r="127" spans="1:8" ht="17.25" customHeight="1">
      <c r="A127" s="54"/>
      <c r="B127" s="56">
        <v>85195</v>
      </c>
      <c r="C127" s="480"/>
      <c r="D127" s="101" t="s">
        <v>190</v>
      </c>
      <c r="E127" s="39">
        <f>SUM(E128)</f>
        <v>3000</v>
      </c>
      <c r="F127" s="39"/>
      <c r="G127" s="39"/>
      <c r="H127" s="39"/>
    </row>
    <row r="128" spans="1:8" ht="39" customHeight="1" thickBot="1">
      <c r="A128" s="57"/>
      <c r="B128" s="484"/>
      <c r="C128" s="482">
        <v>2010</v>
      </c>
      <c r="D128" s="246" t="s">
        <v>347</v>
      </c>
      <c r="E128" s="41">
        <v>3000</v>
      </c>
      <c r="F128" s="41"/>
      <c r="G128" s="41"/>
      <c r="H128" s="43"/>
    </row>
    <row r="129" spans="1:8" ht="16.5" customHeight="1" thickBot="1">
      <c r="A129" s="110">
        <v>852</v>
      </c>
      <c r="B129" s="111"/>
      <c r="C129" s="112"/>
      <c r="D129" s="243" t="s">
        <v>306</v>
      </c>
      <c r="E129" s="710">
        <f>SUM(E130+E136+E143+E146+E150+E155+E157)</f>
        <v>13393106.22</v>
      </c>
      <c r="F129" s="113">
        <f>SUM(F130+F136+F143+F146+F150+F157)</f>
        <v>13029538</v>
      </c>
      <c r="G129" s="328"/>
      <c r="H129" s="119">
        <f>SUM(H130+H136+H143+H146+H150+H157)</f>
        <v>12122975</v>
      </c>
    </row>
    <row r="130" spans="1:8" ht="16.5" customHeight="1">
      <c r="A130" s="91"/>
      <c r="B130" s="88">
        <v>85203</v>
      </c>
      <c r="C130" s="89"/>
      <c r="D130" s="250" t="s">
        <v>340</v>
      </c>
      <c r="E130" s="28">
        <f>SUM(E131:E134)</f>
        <v>459716</v>
      </c>
      <c r="F130" s="28">
        <f>SUM(F131:F135)</f>
        <v>523220</v>
      </c>
      <c r="G130" s="28"/>
      <c r="H130" s="28">
        <v>370020</v>
      </c>
    </row>
    <row r="131" spans="1:8" ht="16.5" customHeight="1">
      <c r="A131" s="86"/>
      <c r="B131" s="87"/>
      <c r="C131" s="76">
        <v>830</v>
      </c>
      <c r="D131" s="102" t="s">
        <v>244</v>
      </c>
      <c r="E131" s="130">
        <v>265000</v>
      </c>
      <c r="F131" s="130">
        <v>150000</v>
      </c>
      <c r="G131" s="130"/>
      <c r="H131" s="130"/>
    </row>
    <row r="132" spans="1:8" ht="16.5" customHeight="1">
      <c r="A132" s="91"/>
      <c r="B132" s="88"/>
      <c r="C132" s="76">
        <v>920</v>
      </c>
      <c r="D132" s="102" t="s">
        <v>261</v>
      </c>
      <c r="E132" s="124">
        <v>100</v>
      </c>
      <c r="F132" s="124">
        <v>200</v>
      </c>
      <c r="G132" s="124"/>
      <c r="H132" s="124"/>
    </row>
    <row r="133" spans="1:8" ht="16.5" customHeight="1">
      <c r="A133" s="91"/>
      <c r="B133" s="88"/>
      <c r="C133" s="129">
        <v>970</v>
      </c>
      <c r="D133" s="103" t="s">
        <v>245</v>
      </c>
      <c r="E133" s="124">
        <v>101</v>
      </c>
      <c r="F133" s="124"/>
      <c r="G133" s="124"/>
      <c r="H133" s="124"/>
    </row>
    <row r="134" spans="1:8" ht="39" customHeight="1">
      <c r="A134" s="91"/>
      <c r="B134" s="88"/>
      <c r="C134" s="90">
        <v>2010</v>
      </c>
      <c r="D134" s="103" t="s">
        <v>347</v>
      </c>
      <c r="E134" s="124">
        <v>194515</v>
      </c>
      <c r="F134" s="124">
        <v>370020</v>
      </c>
      <c r="G134" s="124"/>
      <c r="H134" s="124">
        <v>370020</v>
      </c>
    </row>
    <row r="135" spans="1:10" ht="36.75" customHeight="1">
      <c r="A135" s="91"/>
      <c r="B135" s="88"/>
      <c r="C135" s="76">
        <v>2360</v>
      </c>
      <c r="D135" s="103" t="s">
        <v>320</v>
      </c>
      <c r="E135" s="124"/>
      <c r="F135" s="124">
        <v>3000</v>
      </c>
      <c r="G135" s="124"/>
      <c r="H135" s="124"/>
      <c r="J135" t="s">
        <v>197</v>
      </c>
    </row>
    <row r="136" spans="1:11" ht="39" customHeight="1">
      <c r="A136" s="91"/>
      <c r="B136" s="88">
        <v>85212</v>
      </c>
      <c r="C136" s="89"/>
      <c r="D136" s="251" t="s">
        <v>389</v>
      </c>
      <c r="E136" s="28">
        <f>SUM(E137:E142)</f>
        <v>10253298</v>
      </c>
      <c r="F136" s="28">
        <f>SUM(F137:F141)</f>
        <v>11070786</v>
      </c>
      <c r="G136" s="28"/>
      <c r="H136" s="28">
        <f>SUM(H139)</f>
        <v>11032136</v>
      </c>
      <c r="K136" t="s">
        <v>197</v>
      </c>
    </row>
    <row r="137" spans="1:8" ht="16.5" customHeight="1">
      <c r="A137" s="91"/>
      <c r="B137" s="88"/>
      <c r="C137" s="190">
        <v>920</v>
      </c>
      <c r="D137" s="102" t="s">
        <v>261</v>
      </c>
      <c r="E137" s="124">
        <v>3400</v>
      </c>
      <c r="F137" s="124">
        <v>3300</v>
      </c>
      <c r="G137" s="124"/>
      <c r="H137" s="124"/>
    </row>
    <row r="138" spans="1:8" ht="16.5" customHeight="1">
      <c r="A138" s="91"/>
      <c r="B138" s="88"/>
      <c r="C138" s="129">
        <v>970</v>
      </c>
      <c r="D138" s="103" t="s">
        <v>245</v>
      </c>
      <c r="E138" s="124">
        <v>38000</v>
      </c>
      <c r="F138" s="124"/>
      <c r="G138" s="124"/>
      <c r="H138" s="124"/>
    </row>
    <row r="139" spans="1:8" ht="36.75" customHeight="1">
      <c r="A139" s="86"/>
      <c r="B139" s="88"/>
      <c r="C139" s="90">
        <v>2010</v>
      </c>
      <c r="D139" s="103" t="s">
        <v>347</v>
      </c>
      <c r="E139" s="46">
        <v>10181203</v>
      </c>
      <c r="F139" s="46">
        <v>11032136</v>
      </c>
      <c r="G139" s="46"/>
      <c r="H139" s="46">
        <v>11032136</v>
      </c>
    </row>
    <row r="140" spans="1:8" ht="37.5" customHeight="1">
      <c r="A140" s="91"/>
      <c r="B140" s="88"/>
      <c r="C140" s="76">
        <v>2360</v>
      </c>
      <c r="D140" s="103" t="s">
        <v>320</v>
      </c>
      <c r="E140" s="189"/>
      <c r="F140" s="189">
        <v>15350</v>
      </c>
      <c r="G140" s="189"/>
      <c r="H140" s="189"/>
    </row>
    <row r="141" spans="1:8" ht="27" customHeight="1">
      <c r="A141" s="91"/>
      <c r="B141" s="88"/>
      <c r="C141" s="90">
        <v>2910</v>
      </c>
      <c r="D141" s="103" t="s">
        <v>390</v>
      </c>
      <c r="E141" s="189">
        <v>26195</v>
      </c>
      <c r="F141" s="189">
        <v>20000</v>
      </c>
      <c r="G141" s="189"/>
      <c r="H141" s="189"/>
    </row>
    <row r="142" spans="1:8" ht="34.5" customHeight="1">
      <c r="A142" s="91"/>
      <c r="B142" s="88"/>
      <c r="C142" s="90">
        <v>6310</v>
      </c>
      <c r="D142" s="300" t="s">
        <v>540</v>
      </c>
      <c r="E142" s="189">
        <v>4500</v>
      </c>
      <c r="F142" s="189"/>
      <c r="G142" s="189"/>
      <c r="H142" s="189"/>
    </row>
    <row r="143" spans="1:8" ht="38.25" customHeight="1">
      <c r="A143" s="51"/>
      <c r="B143" s="52">
        <v>85213</v>
      </c>
      <c r="C143" s="80"/>
      <c r="D143" s="245" t="s">
        <v>394</v>
      </c>
      <c r="E143" s="40">
        <f>SUM(E144:E145)</f>
        <v>60988</v>
      </c>
      <c r="F143" s="40">
        <f>SUM(F144)</f>
        <v>62219</v>
      </c>
      <c r="G143" s="40"/>
      <c r="H143" s="40">
        <f>SUM(H144)</f>
        <v>62219</v>
      </c>
    </row>
    <row r="144" spans="1:8" ht="39" customHeight="1">
      <c r="A144" s="54"/>
      <c r="B144" s="55"/>
      <c r="C144" s="76">
        <v>2010</v>
      </c>
      <c r="D144" s="103" t="s">
        <v>347</v>
      </c>
      <c r="E144" s="29">
        <v>60888</v>
      </c>
      <c r="F144" s="29">
        <v>62219</v>
      </c>
      <c r="G144" s="29"/>
      <c r="H144" s="29">
        <v>62219</v>
      </c>
    </row>
    <row r="145" spans="1:8" ht="27" customHeight="1">
      <c r="A145" s="54"/>
      <c r="B145" s="55"/>
      <c r="C145" s="90">
        <v>2910</v>
      </c>
      <c r="D145" s="103" t="s">
        <v>390</v>
      </c>
      <c r="E145" s="29">
        <v>100</v>
      </c>
      <c r="F145" s="29"/>
      <c r="G145" s="29"/>
      <c r="H145" s="29"/>
    </row>
    <row r="146" spans="1:8" ht="27" customHeight="1">
      <c r="A146" s="54"/>
      <c r="B146" s="56">
        <v>85214</v>
      </c>
      <c r="C146" s="76"/>
      <c r="D146" s="106" t="s">
        <v>343</v>
      </c>
      <c r="E146" s="39">
        <f>SUM(E147:E149)</f>
        <v>934457</v>
      </c>
      <c r="F146" s="39">
        <f>SUM(F147:F149)</f>
        <v>855142</v>
      </c>
      <c r="G146" s="39"/>
      <c r="H146" s="39">
        <f>SUM(H147)</f>
        <v>658600</v>
      </c>
    </row>
    <row r="147" spans="1:8" ht="35.25" customHeight="1">
      <c r="A147" s="54"/>
      <c r="B147" s="55"/>
      <c r="C147" s="76">
        <v>2010</v>
      </c>
      <c r="D147" s="103" t="s">
        <v>347</v>
      </c>
      <c r="E147" s="29">
        <v>623378</v>
      </c>
      <c r="F147" s="29">
        <v>658600</v>
      </c>
      <c r="G147" s="29"/>
      <c r="H147" s="29">
        <v>658600</v>
      </c>
    </row>
    <row r="148" spans="1:8" ht="25.5" customHeight="1">
      <c r="A148" s="54"/>
      <c r="B148" s="55"/>
      <c r="C148" s="76">
        <v>2030</v>
      </c>
      <c r="D148" s="103" t="s">
        <v>328</v>
      </c>
      <c r="E148" s="29">
        <v>296300</v>
      </c>
      <c r="F148" s="29">
        <v>194542</v>
      </c>
      <c r="G148" s="29"/>
      <c r="H148" s="29"/>
    </row>
    <row r="149" spans="1:8" ht="25.5" customHeight="1">
      <c r="A149" s="54"/>
      <c r="B149" s="55"/>
      <c r="C149" s="90">
        <v>2910</v>
      </c>
      <c r="D149" s="103" t="s">
        <v>390</v>
      </c>
      <c r="E149" s="29">
        <v>14779</v>
      </c>
      <c r="F149" s="29">
        <v>2000</v>
      </c>
      <c r="G149" s="29"/>
      <c r="H149" s="29"/>
    </row>
    <row r="150" spans="1:11" ht="16.5" customHeight="1">
      <c r="A150" s="54"/>
      <c r="B150" s="56">
        <v>85219</v>
      </c>
      <c r="C150" s="76"/>
      <c r="D150" s="101" t="s">
        <v>222</v>
      </c>
      <c r="E150" s="39">
        <f>SUM(E151:E154)</f>
        <v>577146</v>
      </c>
      <c r="F150" s="39">
        <f>SUM(F151:F154)</f>
        <v>518171</v>
      </c>
      <c r="G150" s="39"/>
      <c r="H150" s="39">
        <f>SUM(H151:H154)</f>
        <v>0</v>
      </c>
      <c r="K150" t="s">
        <v>197</v>
      </c>
    </row>
    <row r="151" spans="1:8" ht="15.75" customHeight="1">
      <c r="A151" s="57"/>
      <c r="B151" s="79"/>
      <c r="C151" s="76">
        <v>830</v>
      </c>
      <c r="D151" s="102" t="s">
        <v>244</v>
      </c>
      <c r="E151" s="41">
        <v>30000</v>
      </c>
      <c r="F151" s="41">
        <v>20000</v>
      </c>
      <c r="G151" s="41"/>
      <c r="H151" s="43"/>
    </row>
    <row r="152" spans="1:8" ht="16.5" customHeight="1">
      <c r="A152" s="57"/>
      <c r="B152" s="79"/>
      <c r="C152" s="77">
        <v>920</v>
      </c>
      <c r="D152" s="226" t="s">
        <v>261</v>
      </c>
      <c r="E152" s="41">
        <v>24000</v>
      </c>
      <c r="F152" s="41">
        <v>12000</v>
      </c>
      <c r="G152" s="41"/>
      <c r="H152" s="43"/>
    </row>
    <row r="153" spans="1:8" ht="16.5" customHeight="1">
      <c r="A153" s="57"/>
      <c r="B153" s="79"/>
      <c r="C153" s="76">
        <v>970</v>
      </c>
      <c r="D153" s="102" t="s">
        <v>245</v>
      </c>
      <c r="E153" s="41">
        <v>6700</v>
      </c>
      <c r="F153" s="41">
        <v>5000</v>
      </c>
      <c r="G153" s="41"/>
      <c r="H153" s="43"/>
    </row>
    <row r="154" spans="1:8" ht="24" customHeight="1">
      <c r="A154" s="57"/>
      <c r="B154" s="58"/>
      <c r="C154" s="77">
        <v>2030</v>
      </c>
      <c r="D154" s="103" t="s">
        <v>328</v>
      </c>
      <c r="E154" s="41">
        <v>516446</v>
      </c>
      <c r="F154" s="41">
        <v>481171</v>
      </c>
      <c r="G154" s="41"/>
      <c r="H154" s="41"/>
    </row>
    <row r="155" spans="1:8" ht="18.75" customHeight="1">
      <c r="A155" s="57"/>
      <c r="B155" s="56">
        <v>85278</v>
      </c>
      <c r="C155" s="76"/>
      <c r="D155" s="707" t="s">
        <v>330</v>
      </c>
      <c r="E155" s="43">
        <f>SUM(E156)</f>
        <v>1392</v>
      </c>
      <c r="F155" s="43"/>
      <c r="G155" s="43"/>
      <c r="H155" s="43"/>
    </row>
    <row r="156" spans="1:8" ht="37.5" customHeight="1">
      <c r="A156" s="57"/>
      <c r="B156" s="706"/>
      <c r="C156" s="480">
        <v>2010</v>
      </c>
      <c r="D156" s="103" t="s">
        <v>347</v>
      </c>
      <c r="E156" s="41">
        <v>1392</v>
      </c>
      <c r="F156" s="41"/>
      <c r="G156" s="41"/>
      <c r="H156" s="41"/>
    </row>
    <row r="157" spans="1:8" ht="16.5" customHeight="1">
      <c r="A157" s="54"/>
      <c r="B157" s="56">
        <v>85295</v>
      </c>
      <c r="C157" s="62"/>
      <c r="D157" s="101" t="s">
        <v>190</v>
      </c>
      <c r="E157" s="709">
        <f>SUM(E158:E162)</f>
        <v>1106109.22</v>
      </c>
      <c r="F157" s="39">
        <f>SUM(F162:F162)</f>
        <v>0</v>
      </c>
      <c r="G157" s="39"/>
      <c r="H157" s="29"/>
    </row>
    <row r="158" spans="1:8" ht="16.5" customHeight="1">
      <c r="A158" s="57"/>
      <c r="B158" s="79"/>
      <c r="C158" s="77">
        <v>920</v>
      </c>
      <c r="D158" s="226" t="s">
        <v>261</v>
      </c>
      <c r="E158" s="41">
        <v>4000</v>
      </c>
      <c r="F158" s="41"/>
      <c r="G158" s="41"/>
      <c r="H158" s="41"/>
    </row>
    <row r="159" spans="1:8" ht="16.5" customHeight="1">
      <c r="A159" s="57"/>
      <c r="B159" s="79"/>
      <c r="C159" s="76">
        <v>970</v>
      </c>
      <c r="D159" s="102" t="s">
        <v>245</v>
      </c>
      <c r="E159" s="41">
        <v>3737</v>
      </c>
      <c r="F159" s="43"/>
      <c r="G159" s="43"/>
      <c r="H159" s="41"/>
    </row>
    <row r="160" spans="1:8" ht="17.25" customHeight="1">
      <c r="A160" s="57"/>
      <c r="B160" s="79"/>
      <c r="C160" s="76">
        <v>2008</v>
      </c>
      <c r="D160" s="103" t="s">
        <v>167</v>
      </c>
      <c r="E160" s="708">
        <v>289284.05</v>
      </c>
      <c r="F160" s="43"/>
      <c r="G160" s="43"/>
      <c r="H160" s="41"/>
    </row>
    <row r="161" spans="1:8" ht="16.5" customHeight="1">
      <c r="A161" s="57"/>
      <c r="B161" s="79"/>
      <c r="C161" s="76">
        <v>2009</v>
      </c>
      <c r="D161" s="103" t="s">
        <v>167</v>
      </c>
      <c r="E161" s="708">
        <v>15314.17</v>
      </c>
      <c r="F161" s="43"/>
      <c r="G161" s="43"/>
      <c r="H161" s="41"/>
    </row>
    <row r="162" spans="1:8" ht="27" customHeight="1" thickBot="1">
      <c r="A162" s="57"/>
      <c r="B162" s="58"/>
      <c r="C162" s="77">
        <v>2030</v>
      </c>
      <c r="D162" s="103" t="s">
        <v>328</v>
      </c>
      <c r="E162" s="41">
        <v>793774</v>
      </c>
      <c r="F162" s="41"/>
      <c r="G162" s="41"/>
      <c r="H162" s="41"/>
    </row>
    <row r="163" spans="1:9" ht="21.75" customHeight="1" thickBot="1">
      <c r="A163" s="110">
        <v>853</v>
      </c>
      <c r="B163" s="111"/>
      <c r="C163" s="112"/>
      <c r="D163" s="244" t="s">
        <v>310</v>
      </c>
      <c r="E163" s="113">
        <f>+E164</f>
        <v>15714</v>
      </c>
      <c r="F163" s="113">
        <f>+F164</f>
        <v>13788</v>
      </c>
      <c r="G163" s="328"/>
      <c r="H163" s="119">
        <f>+H164</f>
        <v>0</v>
      </c>
      <c r="I163" t="s">
        <v>197</v>
      </c>
    </row>
    <row r="164" spans="1:8" ht="15" customHeight="1">
      <c r="A164" s="51"/>
      <c r="B164" s="52">
        <v>85305</v>
      </c>
      <c r="C164" s="53"/>
      <c r="D164" s="242" t="s">
        <v>195</v>
      </c>
      <c r="E164" s="40">
        <f>SUM(E165)</f>
        <v>15714</v>
      </c>
      <c r="F164" s="40">
        <f>SUM(F165)</f>
        <v>13788</v>
      </c>
      <c r="G164" s="40"/>
      <c r="H164" s="29"/>
    </row>
    <row r="165" spans="1:52" s="3" customFormat="1" ht="16.5" customHeight="1" thickBot="1">
      <c r="A165" s="93"/>
      <c r="B165" s="55"/>
      <c r="C165" s="76">
        <v>830</v>
      </c>
      <c r="D165" s="102" t="s">
        <v>244</v>
      </c>
      <c r="E165" s="29">
        <v>15714</v>
      </c>
      <c r="F165" s="133">
        <v>13788</v>
      </c>
      <c r="G165" s="133"/>
      <c r="H165" s="4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</row>
    <row r="166" spans="1:8" ht="14.25" customHeight="1" thickBot="1">
      <c r="A166" s="110">
        <v>854</v>
      </c>
      <c r="B166" s="111"/>
      <c r="C166" s="112" t="s">
        <v>238</v>
      </c>
      <c r="D166" s="244" t="s">
        <v>223</v>
      </c>
      <c r="E166" s="113">
        <f>SUM(E167+E170)</f>
        <v>335168</v>
      </c>
      <c r="F166" s="113">
        <f>SUM(F167+F170)</f>
        <v>0</v>
      </c>
      <c r="G166" s="328"/>
      <c r="H166" s="119"/>
    </row>
    <row r="167" spans="1:8" ht="13.5" customHeight="1">
      <c r="A167" s="64"/>
      <c r="B167" s="56">
        <v>85415</v>
      </c>
      <c r="C167" s="62"/>
      <c r="D167" s="106" t="s">
        <v>243</v>
      </c>
      <c r="E167" s="39">
        <f>SUM(E168:E169)</f>
        <v>313168</v>
      </c>
      <c r="F167" s="39">
        <f>SUM(F168)</f>
        <v>0</v>
      </c>
      <c r="G167" s="39"/>
      <c r="H167" s="39"/>
    </row>
    <row r="168" spans="1:9" ht="24" customHeight="1">
      <c r="A168" s="64"/>
      <c r="B168" s="55"/>
      <c r="C168" s="76">
        <v>2030</v>
      </c>
      <c r="D168" s="103" t="s">
        <v>328</v>
      </c>
      <c r="E168" s="29">
        <v>303943</v>
      </c>
      <c r="F168" s="29"/>
      <c r="G168" s="29"/>
      <c r="H168" s="29"/>
      <c r="I168" t="s">
        <v>197</v>
      </c>
    </row>
    <row r="169" spans="1:8" ht="24.75" customHeight="1">
      <c r="A169" s="64"/>
      <c r="B169" s="55"/>
      <c r="C169" s="76">
        <v>2440</v>
      </c>
      <c r="D169" s="103" t="s">
        <v>538</v>
      </c>
      <c r="E169" s="29">
        <v>9225</v>
      </c>
      <c r="F169" s="29"/>
      <c r="G169" s="29"/>
      <c r="H169" s="29"/>
    </row>
    <row r="170" spans="1:8" ht="15.75" customHeight="1">
      <c r="A170" s="64"/>
      <c r="B170" s="125">
        <v>85495</v>
      </c>
      <c r="C170" s="126"/>
      <c r="D170" s="106" t="s">
        <v>190</v>
      </c>
      <c r="E170" s="127">
        <f>SUM(E171)</f>
        <v>22000</v>
      </c>
      <c r="F170" s="127">
        <f>SUM(F171)</f>
        <v>0</v>
      </c>
      <c r="G170" s="127"/>
      <c r="H170" s="127"/>
    </row>
    <row r="171" spans="1:8" ht="38.25" customHeight="1" thickBot="1">
      <c r="A171" s="65"/>
      <c r="B171" s="58"/>
      <c r="C171" s="131">
        <v>2010</v>
      </c>
      <c r="D171" s="246" t="s">
        <v>347</v>
      </c>
      <c r="E171" s="41">
        <v>22000</v>
      </c>
      <c r="F171" s="41"/>
      <c r="G171" s="41"/>
      <c r="H171" s="41"/>
    </row>
    <row r="172" spans="1:9" ht="17.25" customHeight="1" thickBot="1">
      <c r="A172" s="110">
        <v>900</v>
      </c>
      <c r="B172" s="111"/>
      <c r="C172" s="112"/>
      <c r="D172" s="244" t="s">
        <v>352</v>
      </c>
      <c r="E172" s="113">
        <f>SUM(E173+E175)</f>
        <v>1301784</v>
      </c>
      <c r="F172" s="113">
        <f>SUM(+F175)</f>
        <v>5278902</v>
      </c>
      <c r="G172" s="113">
        <f>SUM(+G175)</f>
        <v>4723000</v>
      </c>
      <c r="H172" s="113">
        <f>SUM(+H175)</f>
        <v>0</v>
      </c>
      <c r="I172" t="s">
        <v>197</v>
      </c>
    </row>
    <row r="173" spans="1:8" ht="18" customHeight="1">
      <c r="A173" s="748"/>
      <c r="B173" s="511">
        <v>90015</v>
      </c>
      <c r="C173" s="487"/>
      <c r="D173" s="293" t="s">
        <v>234</v>
      </c>
      <c r="E173" s="485">
        <f>SUM(E174)</f>
        <v>3050</v>
      </c>
      <c r="F173" s="485"/>
      <c r="G173" s="485"/>
      <c r="H173" s="485"/>
    </row>
    <row r="174" spans="1:8" ht="15" customHeight="1">
      <c r="A174" s="86"/>
      <c r="B174" s="486"/>
      <c r="C174" s="76">
        <v>970</v>
      </c>
      <c r="D174" s="102" t="s">
        <v>245</v>
      </c>
      <c r="E174" s="46">
        <v>3050</v>
      </c>
      <c r="F174" s="46"/>
      <c r="G174" s="46"/>
      <c r="H174" s="46"/>
    </row>
    <row r="175" spans="1:8" ht="16.5" customHeight="1">
      <c r="A175" s="54"/>
      <c r="B175" s="56">
        <v>90095</v>
      </c>
      <c r="C175" s="62"/>
      <c r="D175" s="101" t="s">
        <v>190</v>
      </c>
      <c r="E175" s="39">
        <f>SUM(E176:E179)</f>
        <v>1298734</v>
      </c>
      <c r="F175" s="39">
        <f>SUM(F176:F180)</f>
        <v>5278902</v>
      </c>
      <c r="G175" s="39">
        <f>SUM(G176:G180)</f>
        <v>4723000</v>
      </c>
      <c r="H175" s="39"/>
    </row>
    <row r="176" spans="1:8" ht="15.75" customHeight="1">
      <c r="A176" s="54"/>
      <c r="B176" s="55"/>
      <c r="C176" s="77">
        <v>690</v>
      </c>
      <c r="D176" s="246" t="s">
        <v>246</v>
      </c>
      <c r="E176" s="41">
        <v>60000</v>
      </c>
      <c r="F176" s="29">
        <f>50000+5000</f>
        <v>55000</v>
      </c>
      <c r="G176" s="29"/>
      <c r="H176" s="39"/>
    </row>
    <row r="177" spans="1:8" ht="17.25" customHeight="1">
      <c r="A177" s="54"/>
      <c r="B177" s="55"/>
      <c r="C177" s="76">
        <v>740</v>
      </c>
      <c r="D177" s="103" t="s">
        <v>269</v>
      </c>
      <c r="E177" s="29">
        <v>1221755</v>
      </c>
      <c r="F177" s="29">
        <v>488702</v>
      </c>
      <c r="G177" s="29"/>
      <c r="H177" s="39"/>
    </row>
    <row r="178" spans="1:8" ht="18.75" customHeight="1">
      <c r="A178" s="54"/>
      <c r="B178" s="55"/>
      <c r="C178" s="76">
        <v>910</v>
      </c>
      <c r="D178" s="103" t="s">
        <v>346</v>
      </c>
      <c r="E178" s="29">
        <v>10000</v>
      </c>
      <c r="F178" s="29">
        <v>12200</v>
      </c>
      <c r="G178" s="29"/>
      <c r="H178" s="39"/>
    </row>
    <row r="179" spans="1:9" ht="18.75" customHeight="1">
      <c r="A179" s="54"/>
      <c r="B179" s="55"/>
      <c r="C179" s="76">
        <v>960</v>
      </c>
      <c r="D179" s="103" t="s">
        <v>345</v>
      </c>
      <c r="E179" s="29">
        <v>6979</v>
      </c>
      <c r="F179" s="312"/>
      <c r="G179" s="312"/>
      <c r="H179" s="313"/>
      <c r="I179" t="s">
        <v>197</v>
      </c>
    </row>
    <row r="180" spans="1:8" ht="37.5" customHeight="1" thickBot="1">
      <c r="A180" s="93"/>
      <c r="B180" s="61"/>
      <c r="C180" s="76">
        <v>6290</v>
      </c>
      <c r="D180" s="103" t="s">
        <v>386</v>
      </c>
      <c r="E180" s="44"/>
      <c r="F180" s="311">
        <v>4723000</v>
      </c>
      <c r="G180" s="311">
        <v>4723000</v>
      </c>
      <c r="H180" s="314"/>
    </row>
    <row r="181" spans="1:8" ht="18.75" customHeight="1" thickBot="1">
      <c r="A181" s="191">
        <v>921</v>
      </c>
      <c r="B181" s="192"/>
      <c r="C181" s="493"/>
      <c r="D181" s="494" t="s">
        <v>541</v>
      </c>
      <c r="E181" s="172">
        <f>SUM(E182)</f>
        <v>315</v>
      </c>
      <c r="F181" s="172">
        <f>SUM(F182)</f>
        <v>0</v>
      </c>
      <c r="G181" s="497"/>
      <c r="H181" s="496"/>
    </row>
    <row r="182" spans="1:8" ht="16.5" customHeight="1">
      <c r="A182" s="489"/>
      <c r="B182" s="194">
        <v>92116</v>
      </c>
      <c r="C182" s="195"/>
      <c r="D182" s="23" t="s">
        <v>205</v>
      </c>
      <c r="E182" s="40">
        <f>SUM(E183:E184)</f>
        <v>315</v>
      </c>
      <c r="F182" s="40">
        <f>SUM(F183:F184)</f>
        <v>0</v>
      </c>
      <c r="G182" s="495"/>
      <c r="H182" s="495"/>
    </row>
    <row r="183" spans="1:8" ht="21" customHeight="1">
      <c r="A183" s="490"/>
      <c r="B183" s="483"/>
      <c r="C183" s="512">
        <v>900</v>
      </c>
      <c r="D183" s="103" t="s">
        <v>423</v>
      </c>
      <c r="E183" s="29">
        <v>18</v>
      </c>
      <c r="F183" s="312"/>
      <c r="G183" s="312"/>
      <c r="H183" s="313"/>
    </row>
    <row r="184" spans="1:8" ht="23.25" customHeight="1" thickBot="1">
      <c r="A184" s="491"/>
      <c r="B184" s="492"/>
      <c r="C184" s="513">
        <v>2910</v>
      </c>
      <c r="D184" s="246" t="s">
        <v>390</v>
      </c>
      <c r="E184" s="44">
        <v>297</v>
      </c>
      <c r="F184" s="311"/>
      <c r="G184" s="488"/>
      <c r="H184" s="314"/>
    </row>
    <row r="185" spans="1:8" ht="16.5" customHeight="1" thickBot="1">
      <c r="A185" s="191">
        <v>926</v>
      </c>
      <c r="B185" s="192"/>
      <c r="C185" s="193"/>
      <c r="D185" s="252" t="s">
        <v>201</v>
      </c>
      <c r="E185" s="140">
        <f>SUM(E186)</f>
        <v>666334</v>
      </c>
      <c r="F185" s="140">
        <f>SUM(F186)</f>
        <v>666334</v>
      </c>
      <c r="G185" s="329">
        <f>SUM(G186)</f>
        <v>666334</v>
      </c>
      <c r="H185" s="198"/>
    </row>
    <row r="186" spans="1:8" ht="16.5" customHeight="1">
      <c r="A186" s="51"/>
      <c r="B186" s="499">
        <v>92601</v>
      </c>
      <c r="C186" s="90"/>
      <c r="D186" s="500" t="s">
        <v>1</v>
      </c>
      <c r="E186" s="196">
        <f>SUM(E187:E188)</f>
        <v>666334</v>
      </c>
      <c r="F186" s="196">
        <f>SUM(F187)</f>
        <v>666334</v>
      </c>
      <c r="G186" s="196">
        <f>SUM(G187:G188)</f>
        <v>666334</v>
      </c>
      <c r="H186" s="197"/>
    </row>
    <row r="187" spans="1:10" ht="37.5" customHeight="1">
      <c r="A187" s="54"/>
      <c r="B187" s="55"/>
      <c r="C187" s="76">
        <v>6290</v>
      </c>
      <c r="D187" s="103" t="s">
        <v>386</v>
      </c>
      <c r="E187" s="312">
        <v>333334</v>
      </c>
      <c r="F187" s="312">
        <v>666334</v>
      </c>
      <c r="G187" s="312">
        <v>666334</v>
      </c>
      <c r="H187" s="313"/>
      <c r="J187" t="s">
        <v>197</v>
      </c>
    </row>
    <row r="188" spans="1:8" ht="27" customHeight="1" thickBot="1">
      <c r="A188" s="579"/>
      <c r="B188" s="61"/>
      <c r="C188" s="518">
        <v>6330</v>
      </c>
      <c r="D188" s="498" t="s">
        <v>0</v>
      </c>
      <c r="E188" s="311">
        <v>333000</v>
      </c>
      <c r="F188" s="311"/>
      <c r="G188" s="311"/>
      <c r="H188" s="314"/>
    </row>
    <row r="189" spans="1:8" ht="18.75" customHeight="1" thickBot="1">
      <c r="A189" s="134"/>
      <c r="B189" s="120"/>
      <c r="C189" s="121"/>
      <c r="D189" s="120" t="s">
        <v>265</v>
      </c>
      <c r="E189" s="315">
        <f>SUM(E185+E181+E172+E166+E163+E129+E120+E89+E78+E44+E39+E36+E27+E24+E13+E10+E6)</f>
        <v>75625618.72</v>
      </c>
      <c r="F189" s="122">
        <f>SUM(F185+F172+F166+F163+F129+F120+F89+F78+F44+F39+F36+F27+F24+F13+F10+F6)</f>
        <v>80011539</v>
      </c>
      <c r="G189" s="122">
        <f>SUM(G185+G172+G166+G163+G129+G120+G89+G78+G44+G39+G36+G27+G24+G13+G10+G6)</f>
        <v>6489334</v>
      </c>
      <c r="H189" s="135">
        <f>SUM(H172+H166+H163+H129+H120+H89+H78+H44+H39+H36+H27+H24+H10+H13+H6)</f>
        <v>12345935</v>
      </c>
    </row>
    <row r="192" spans="4:7" ht="12.75">
      <c r="D192" s="27" t="s">
        <v>271</v>
      </c>
      <c r="F192" s="253">
        <v>1377518</v>
      </c>
      <c r="G192" s="253"/>
    </row>
    <row r="193" spans="6:8" ht="12.75">
      <c r="F193" s="253"/>
      <c r="G193" s="253"/>
      <c r="H193" s="27" t="s">
        <v>197</v>
      </c>
    </row>
    <row r="194" spans="6:7" ht="12.75">
      <c r="F194" s="253"/>
      <c r="G194" s="253"/>
    </row>
    <row r="195" spans="6:7" ht="12.75">
      <c r="F195" s="178">
        <f>SUM(+F189-F192)</f>
        <v>78634021</v>
      </c>
      <c r="G195" s="178"/>
    </row>
    <row r="196" ht="12.75">
      <c r="F196" s="95" t="s">
        <v>197</v>
      </c>
    </row>
  </sheetData>
  <sheetProtection/>
  <mergeCells count="9">
    <mergeCell ref="A2:H2"/>
    <mergeCell ref="A1:D1"/>
    <mergeCell ref="G3:H3"/>
    <mergeCell ref="F3:F4"/>
    <mergeCell ref="E3:E4"/>
    <mergeCell ref="D3:D4"/>
    <mergeCell ref="C3:C4"/>
    <mergeCell ref="B3:B4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8" r:id="rId1"/>
  <rowBreaks count="3" manualBreakCount="3">
    <brk id="148" max="69" man="1"/>
    <brk id="171" max="255" man="1"/>
    <brk id="1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F65" sqref="F65"/>
    </sheetView>
  </sheetViews>
  <sheetFormatPr defaultColWidth="9.00390625" defaultRowHeight="12.75"/>
  <cols>
    <col min="1" max="1" width="4.75390625" style="4" customWidth="1"/>
    <col min="2" max="2" width="6.00390625" style="2" customWidth="1"/>
    <col min="3" max="3" width="32.625" style="38" customWidth="1"/>
    <col min="4" max="4" width="10.875" style="27" bestFit="1" customWidth="1"/>
    <col min="5" max="5" width="10.625" style="27" customWidth="1"/>
    <col min="6" max="6" width="11.75390625" style="27" customWidth="1"/>
    <col min="7" max="7" width="11.125" style="27" customWidth="1"/>
    <col min="8" max="8" width="9.25390625" style="27" customWidth="1"/>
    <col min="9" max="9" width="9.125" style="27" customWidth="1"/>
    <col min="10" max="10" width="8.625" style="27" customWidth="1"/>
    <col min="11" max="11" width="10.875" style="27" customWidth="1"/>
    <col min="12" max="12" width="9.25390625" style="1" customWidth="1"/>
    <col min="13" max="16384" width="9.125" style="1" customWidth="1"/>
  </cols>
  <sheetData>
    <row r="1" spans="1:3" ht="50.25" customHeight="1">
      <c r="A1" s="800" t="s">
        <v>87</v>
      </c>
      <c r="B1" s="801"/>
      <c r="C1" s="801"/>
    </row>
    <row r="2" spans="1:11" ht="18.75" customHeight="1" thickBot="1">
      <c r="A2" s="831" t="s">
        <v>537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</row>
    <row r="3" spans="1:12" ht="14.25" customHeight="1">
      <c r="A3" s="815" t="s">
        <v>187</v>
      </c>
      <c r="B3" s="818" t="s">
        <v>188</v>
      </c>
      <c r="C3" s="812" t="s">
        <v>189</v>
      </c>
      <c r="D3" s="824" t="s">
        <v>415</v>
      </c>
      <c r="E3" s="825"/>
      <c r="F3" s="809" t="s">
        <v>535</v>
      </c>
      <c r="G3" s="802" t="s">
        <v>252</v>
      </c>
      <c r="H3" s="803"/>
      <c r="I3" s="803"/>
      <c r="J3" s="804"/>
      <c r="K3" s="828" t="s">
        <v>258</v>
      </c>
      <c r="L3" s="821" t="s">
        <v>304</v>
      </c>
    </row>
    <row r="4" spans="1:12" ht="12.75" customHeight="1">
      <c r="A4" s="816"/>
      <c r="B4" s="819"/>
      <c r="C4" s="813"/>
      <c r="D4" s="826"/>
      <c r="E4" s="827"/>
      <c r="F4" s="810"/>
      <c r="G4" s="805" t="s">
        <v>207</v>
      </c>
      <c r="H4" s="807" t="s">
        <v>251</v>
      </c>
      <c r="I4" s="807"/>
      <c r="J4" s="808"/>
      <c r="K4" s="829"/>
      <c r="L4" s="822"/>
    </row>
    <row r="5" spans="1:12" ht="23.25" customHeight="1" thickBot="1">
      <c r="A5" s="817"/>
      <c r="B5" s="820"/>
      <c r="C5" s="814"/>
      <c r="D5" s="229" t="s">
        <v>334</v>
      </c>
      <c r="E5" s="71" t="s">
        <v>270</v>
      </c>
      <c r="F5" s="811"/>
      <c r="G5" s="806"/>
      <c r="H5" s="70" t="s">
        <v>259</v>
      </c>
      <c r="I5" s="70" t="s">
        <v>305</v>
      </c>
      <c r="J5" s="71" t="s">
        <v>208</v>
      </c>
      <c r="K5" s="830"/>
      <c r="L5" s="823"/>
    </row>
    <row r="6" spans="1:12" s="8" customFormat="1" ht="14.25" customHeight="1">
      <c r="A6" s="13">
        <v>10</v>
      </c>
      <c r="B6" s="14"/>
      <c r="C6" s="30" t="s">
        <v>224</v>
      </c>
      <c r="D6" s="318">
        <f>SUM(D7:D9)</f>
        <v>227333.5</v>
      </c>
      <c r="E6" s="204">
        <f>SUM(E7+E9)</f>
        <v>33000</v>
      </c>
      <c r="F6" s="325">
        <f>SUM(F7:F9)</f>
        <v>44005</v>
      </c>
      <c r="G6" s="202">
        <f>SUM(G7:G9)</f>
        <v>44005</v>
      </c>
      <c r="H6" s="202">
        <f>SUM(H7:H9)</f>
        <v>0</v>
      </c>
      <c r="I6" s="203"/>
      <c r="J6" s="204"/>
      <c r="K6" s="205">
        <f>SUM(K7+K9)</f>
        <v>0</v>
      </c>
      <c r="L6" s="206">
        <f>SUM(L7+L9)</f>
        <v>0</v>
      </c>
    </row>
    <row r="7" spans="1:12" ht="16.5" customHeight="1">
      <c r="A7" s="11"/>
      <c r="B7" s="12">
        <v>1010</v>
      </c>
      <c r="C7" s="31" t="s">
        <v>254</v>
      </c>
      <c r="D7" s="208">
        <v>0</v>
      </c>
      <c r="E7" s="207">
        <v>33000</v>
      </c>
      <c r="F7" s="230">
        <f>SUM(G7+K7+L7)</f>
        <v>0</v>
      </c>
      <c r="G7" s="219"/>
      <c r="H7" s="105"/>
      <c r="I7" s="105"/>
      <c r="J7" s="207"/>
      <c r="K7" s="208"/>
      <c r="L7" s="209"/>
    </row>
    <row r="8" spans="1:12" ht="14.25" customHeight="1">
      <c r="A8" s="11"/>
      <c r="B8" s="12">
        <v>1030</v>
      </c>
      <c r="C8" s="31" t="s">
        <v>303</v>
      </c>
      <c r="D8" s="208">
        <v>9915</v>
      </c>
      <c r="E8" s="207"/>
      <c r="F8" s="230">
        <f>SUM(G8+K8+L8)</f>
        <v>10005</v>
      </c>
      <c r="G8" s="219">
        <v>10005</v>
      </c>
      <c r="H8" s="105"/>
      <c r="I8" s="105"/>
      <c r="J8" s="207"/>
      <c r="K8" s="208"/>
      <c r="L8" s="209"/>
    </row>
    <row r="9" spans="1:12" s="6" customFormat="1" ht="14.25" customHeight="1">
      <c r="A9" s="11"/>
      <c r="B9" s="12">
        <v>1095</v>
      </c>
      <c r="C9" s="32" t="s">
        <v>190</v>
      </c>
      <c r="D9" s="317">
        <v>217418.5</v>
      </c>
      <c r="E9" s="207"/>
      <c r="F9" s="230">
        <f>SUM(G9+K9+L9)</f>
        <v>34000</v>
      </c>
      <c r="G9" s="219">
        <v>34000</v>
      </c>
      <c r="H9" s="105"/>
      <c r="I9" s="105"/>
      <c r="J9" s="207"/>
      <c r="K9" s="208"/>
      <c r="L9" s="209"/>
    </row>
    <row r="10" spans="1:14" s="8" customFormat="1" ht="14.25" customHeight="1">
      <c r="A10" s="9">
        <v>600</v>
      </c>
      <c r="B10" s="10"/>
      <c r="C10" s="33" t="s">
        <v>214</v>
      </c>
      <c r="D10" s="212">
        <f>SUM(D11:D12)</f>
        <v>4416325</v>
      </c>
      <c r="E10" s="211">
        <f>SUM(E11:E12)</f>
        <v>1552500</v>
      </c>
      <c r="F10" s="231">
        <f>SUM(F11:F12)</f>
        <v>16117800</v>
      </c>
      <c r="G10" s="214">
        <f>SUM(G11+G12)</f>
        <v>4520800</v>
      </c>
      <c r="H10" s="210">
        <f>SUM(H11+H12)</f>
        <v>50000</v>
      </c>
      <c r="I10" s="210"/>
      <c r="J10" s="211"/>
      <c r="K10" s="212">
        <f>SUM(K11:K12)</f>
        <v>11597000</v>
      </c>
      <c r="L10" s="213">
        <f>SUM(L11+L12)</f>
        <v>0</v>
      </c>
      <c r="N10" s="8" t="s">
        <v>197</v>
      </c>
    </row>
    <row r="11" spans="1:12" ht="14.25" customHeight="1">
      <c r="A11" s="11"/>
      <c r="B11" s="12">
        <v>60004</v>
      </c>
      <c r="C11" s="32" t="s">
        <v>225</v>
      </c>
      <c r="D11" s="208">
        <v>1260000</v>
      </c>
      <c r="E11" s="207"/>
      <c r="F11" s="230">
        <f>SUM(G11+K11+L11)</f>
        <v>1270800</v>
      </c>
      <c r="G11" s="219">
        <v>1270800</v>
      </c>
      <c r="H11" s="105"/>
      <c r="I11" s="105"/>
      <c r="J11" s="207"/>
      <c r="K11" s="208"/>
      <c r="L11" s="209"/>
    </row>
    <row r="12" spans="1:12" ht="14.25" customHeight="1">
      <c r="A12" s="11"/>
      <c r="B12" s="12">
        <v>60016</v>
      </c>
      <c r="C12" s="32" t="s">
        <v>203</v>
      </c>
      <c r="D12" s="208">
        <v>3156325</v>
      </c>
      <c r="E12" s="207">
        <v>1552500</v>
      </c>
      <c r="F12" s="230">
        <f>SUM(G12+K12+L12)</f>
        <v>14847000</v>
      </c>
      <c r="G12" s="219">
        <v>3250000</v>
      </c>
      <c r="H12" s="105">
        <v>50000</v>
      </c>
      <c r="I12" s="105"/>
      <c r="J12" s="207"/>
      <c r="K12" s="208">
        <v>11597000</v>
      </c>
      <c r="L12" s="209"/>
    </row>
    <row r="13" spans="1:12" s="8" customFormat="1" ht="14.25" customHeight="1">
      <c r="A13" s="9">
        <v>700</v>
      </c>
      <c r="B13" s="10"/>
      <c r="C13" s="33" t="s">
        <v>191</v>
      </c>
      <c r="D13" s="212">
        <f>SUM(D14:D15)</f>
        <v>1464006</v>
      </c>
      <c r="E13" s="211">
        <f>SUM(E14:E15)</f>
        <v>1093000</v>
      </c>
      <c r="F13" s="231">
        <f>SUM(F14:F15)</f>
        <v>2075000</v>
      </c>
      <c r="G13" s="214">
        <f>SUM(G14:G15)</f>
        <v>1325000</v>
      </c>
      <c r="H13" s="214">
        <f>SUM(H14:H14)</f>
        <v>0</v>
      </c>
      <c r="I13" s="210"/>
      <c r="J13" s="211"/>
      <c r="K13" s="212">
        <f>SUM(K14:K15)</f>
        <v>750000</v>
      </c>
      <c r="L13" s="213">
        <f>SUM(L14:L14)</f>
        <v>0</v>
      </c>
    </row>
    <row r="14" spans="1:12" ht="14.25" customHeight="1">
      <c r="A14" s="11"/>
      <c r="B14" s="12">
        <v>70005</v>
      </c>
      <c r="C14" s="31" t="s">
        <v>239</v>
      </c>
      <c r="D14" s="208">
        <v>400000</v>
      </c>
      <c r="E14" s="207">
        <v>938000</v>
      </c>
      <c r="F14" s="230">
        <f>SUM(G14+K14+L14)</f>
        <v>1275000</v>
      </c>
      <c r="G14" s="219">
        <f>385000+140000</f>
        <v>525000</v>
      </c>
      <c r="H14" s="105"/>
      <c r="I14" s="105"/>
      <c r="J14" s="207"/>
      <c r="K14" s="208">
        <v>750000</v>
      </c>
      <c r="L14" s="209"/>
    </row>
    <row r="15" spans="1:12" ht="14.25" customHeight="1">
      <c r="A15" s="11"/>
      <c r="B15" s="12">
        <v>70095</v>
      </c>
      <c r="C15" s="32" t="s">
        <v>314</v>
      </c>
      <c r="D15" s="208">
        <v>1064006</v>
      </c>
      <c r="E15" s="207">
        <v>155000</v>
      </c>
      <c r="F15" s="230">
        <f>SUM(G15+K15+L15)</f>
        <v>800000</v>
      </c>
      <c r="G15" s="219">
        <v>800000</v>
      </c>
      <c r="H15" s="105"/>
      <c r="I15" s="105"/>
      <c r="J15" s="207"/>
      <c r="K15" s="208"/>
      <c r="L15" s="209"/>
    </row>
    <row r="16" spans="1:12" s="8" customFormat="1" ht="14.25" customHeight="1">
      <c r="A16" s="9">
        <v>710</v>
      </c>
      <c r="B16" s="10"/>
      <c r="C16" s="33" t="s">
        <v>226</v>
      </c>
      <c r="D16" s="212">
        <f aca="true" t="shared" si="0" ref="D16:K16">SUM(D17:D18)</f>
        <v>556000</v>
      </c>
      <c r="E16" s="211">
        <f t="shared" si="0"/>
        <v>0</v>
      </c>
      <c r="F16" s="231">
        <f t="shared" si="0"/>
        <v>486000</v>
      </c>
      <c r="G16" s="214">
        <f>SUM(G17:G18)</f>
        <v>486000</v>
      </c>
      <c r="H16" s="214">
        <f>SUM(H17:H18)</f>
        <v>66000</v>
      </c>
      <c r="I16" s="210"/>
      <c r="J16" s="211"/>
      <c r="K16" s="212">
        <f t="shared" si="0"/>
        <v>0</v>
      </c>
      <c r="L16" s="213"/>
    </row>
    <row r="17" spans="1:12" s="7" customFormat="1" ht="14.25" customHeight="1">
      <c r="A17" s="11"/>
      <c r="B17" s="12">
        <v>71004</v>
      </c>
      <c r="C17" s="31" t="s">
        <v>255</v>
      </c>
      <c r="D17" s="208">
        <v>520000</v>
      </c>
      <c r="E17" s="207"/>
      <c r="F17" s="230">
        <f>SUM(G17+K17+L17)</f>
        <v>456000</v>
      </c>
      <c r="G17" s="219">
        <v>456000</v>
      </c>
      <c r="H17" s="105">
        <v>66000</v>
      </c>
      <c r="I17" s="105"/>
      <c r="J17" s="207"/>
      <c r="K17" s="208"/>
      <c r="L17" s="215"/>
    </row>
    <row r="18" spans="1:12" ht="14.25" customHeight="1">
      <c r="A18" s="11"/>
      <c r="B18" s="12">
        <v>71035</v>
      </c>
      <c r="C18" s="32" t="s">
        <v>274</v>
      </c>
      <c r="D18" s="208">
        <v>36000</v>
      </c>
      <c r="E18" s="207">
        <v>0</v>
      </c>
      <c r="F18" s="230">
        <f>SUM(G18+K18+L18)</f>
        <v>30000</v>
      </c>
      <c r="G18" s="219">
        <v>30000</v>
      </c>
      <c r="H18" s="105"/>
      <c r="I18" s="105"/>
      <c r="J18" s="207"/>
      <c r="K18" s="208"/>
      <c r="L18" s="209"/>
    </row>
    <row r="19" spans="1:12" s="8" customFormat="1" ht="14.25" customHeight="1">
      <c r="A19" s="9">
        <v>750</v>
      </c>
      <c r="B19" s="10"/>
      <c r="C19" s="33" t="s">
        <v>216</v>
      </c>
      <c r="D19" s="212">
        <f>SUM(D20:D23)</f>
        <v>6568799</v>
      </c>
      <c r="E19" s="217">
        <f>SUM(E20:E23)</f>
        <v>145000</v>
      </c>
      <c r="F19" s="231">
        <f>SUM(F20:F23)</f>
        <v>7249448</v>
      </c>
      <c r="G19" s="214">
        <f>SUM(G20:G23)</f>
        <v>7136608</v>
      </c>
      <c r="H19" s="210">
        <f>SUM(H20:H23)</f>
        <v>4644781</v>
      </c>
      <c r="I19" s="210"/>
      <c r="J19" s="216">
        <f>SUM(J20:J23)</f>
        <v>0</v>
      </c>
      <c r="K19" s="212">
        <f>SUM(K20+K21+K22)</f>
        <v>112840</v>
      </c>
      <c r="L19" s="213"/>
    </row>
    <row r="20" spans="1:12" ht="14.25" customHeight="1">
      <c r="A20" s="11"/>
      <c r="B20" s="12">
        <v>75011</v>
      </c>
      <c r="C20" s="31" t="s">
        <v>242</v>
      </c>
      <c r="D20" s="208">
        <v>485961</v>
      </c>
      <c r="E20" s="207"/>
      <c r="F20" s="230">
        <f>SUM(G20+K20+L20)</f>
        <v>635794</v>
      </c>
      <c r="G20" s="219">
        <f>466971+168823</f>
        <v>635794</v>
      </c>
      <c r="H20" s="105">
        <f>379471+141223</f>
        <v>520694</v>
      </c>
      <c r="I20" s="105"/>
      <c r="J20" s="207"/>
      <c r="K20" s="208"/>
      <c r="L20" s="209"/>
    </row>
    <row r="21" spans="1:12" ht="22.5">
      <c r="A21" s="11"/>
      <c r="B21" s="12">
        <v>75022</v>
      </c>
      <c r="C21" s="31" t="s">
        <v>227</v>
      </c>
      <c r="D21" s="208">
        <v>387066</v>
      </c>
      <c r="E21" s="207">
        <v>0</v>
      </c>
      <c r="F21" s="230">
        <f>SUM(G21+K21+L21)</f>
        <v>380356</v>
      </c>
      <c r="G21" s="219">
        <v>380356</v>
      </c>
      <c r="H21" s="105"/>
      <c r="I21" s="105"/>
      <c r="J21" s="207"/>
      <c r="K21" s="208"/>
      <c r="L21" s="209"/>
    </row>
    <row r="22" spans="1:12" ht="22.5">
      <c r="A22" s="11"/>
      <c r="B22" s="12">
        <v>75023</v>
      </c>
      <c r="C22" s="31" t="s">
        <v>217</v>
      </c>
      <c r="D22" s="208">
        <v>4945565</v>
      </c>
      <c r="E22" s="207">
        <v>145000</v>
      </c>
      <c r="F22" s="230">
        <f>SUM(G22+K22+L22)</f>
        <v>5633298</v>
      </c>
      <c r="G22" s="219">
        <f>5490024+40000-9566</f>
        <v>5520458</v>
      </c>
      <c r="H22" s="105">
        <f>4087149+7938</f>
        <v>4095087</v>
      </c>
      <c r="I22" s="105"/>
      <c r="J22" s="207"/>
      <c r="K22" s="208">
        <f>100000+12840</f>
        <v>112840</v>
      </c>
      <c r="L22" s="209"/>
    </row>
    <row r="23" spans="1:12" ht="18.75" customHeight="1">
      <c r="A23" s="11"/>
      <c r="B23" s="12">
        <v>75075</v>
      </c>
      <c r="C23" s="31" t="s">
        <v>359</v>
      </c>
      <c r="D23" s="208">
        <v>750207</v>
      </c>
      <c r="E23" s="207"/>
      <c r="F23" s="230">
        <f>SUM(G23+K23+L23)</f>
        <v>600000</v>
      </c>
      <c r="G23" s="219">
        <v>600000</v>
      </c>
      <c r="H23" s="105">
        <v>29000</v>
      </c>
      <c r="I23" s="105"/>
      <c r="J23" s="207"/>
      <c r="K23" s="208"/>
      <c r="L23" s="209"/>
    </row>
    <row r="24" spans="1:12" s="8" customFormat="1" ht="39" customHeight="1">
      <c r="A24" s="9">
        <v>751</v>
      </c>
      <c r="B24" s="10"/>
      <c r="C24" s="34" t="s">
        <v>2</v>
      </c>
      <c r="D24" s="212">
        <f>+D25+D26</f>
        <v>5355</v>
      </c>
      <c r="E24" s="211">
        <f aca="true" t="shared" si="1" ref="E24:K24">+E25</f>
        <v>0</v>
      </c>
      <c r="F24" s="231">
        <f t="shared" si="1"/>
        <v>5865</v>
      </c>
      <c r="G24" s="214">
        <f t="shared" si="1"/>
        <v>5865</v>
      </c>
      <c r="H24" s="214">
        <f t="shared" si="1"/>
        <v>5000</v>
      </c>
      <c r="I24" s="210"/>
      <c r="J24" s="211"/>
      <c r="K24" s="212">
        <f t="shared" si="1"/>
        <v>0</v>
      </c>
      <c r="L24" s="213"/>
    </row>
    <row r="25" spans="1:12" ht="26.25" customHeight="1">
      <c r="A25" s="11"/>
      <c r="B25" s="12">
        <v>75101</v>
      </c>
      <c r="C25" s="35" t="s">
        <v>253</v>
      </c>
      <c r="D25" s="208">
        <v>5220</v>
      </c>
      <c r="E25" s="207"/>
      <c r="F25" s="230">
        <f>SUM(G25+K25+L25)</f>
        <v>5865</v>
      </c>
      <c r="G25" s="219">
        <v>5865</v>
      </c>
      <c r="H25" s="105">
        <v>5000</v>
      </c>
      <c r="I25" s="105"/>
      <c r="J25" s="207"/>
      <c r="K25" s="208"/>
      <c r="L25" s="209"/>
    </row>
    <row r="26" spans="1:12" ht="16.5" customHeight="1">
      <c r="A26" s="11"/>
      <c r="B26" s="12">
        <v>75108</v>
      </c>
      <c r="C26" s="199" t="s">
        <v>417</v>
      </c>
      <c r="D26" s="208">
        <v>135</v>
      </c>
      <c r="E26" s="207"/>
      <c r="F26" s="230"/>
      <c r="G26" s="219"/>
      <c r="H26" s="105"/>
      <c r="I26" s="105"/>
      <c r="J26" s="207"/>
      <c r="K26" s="208"/>
      <c r="L26" s="209"/>
    </row>
    <row r="27" spans="1:12" s="8" customFormat="1" ht="24.75" customHeight="1">
      <c r="A27" s="9">
        <v>754</v>
      </c>
      <c r="B27" s="10"/>
      <c r="C27" s="34" t="s">
        <v>229</v>
      </c>
      <c r="D27" s="212">
        <f>SUM(D29:D31)</f>
        <v>663151</v>
      </c>
      <c r="E27" s="211">
        <f>SUM(E28:E31)</f>
        <v>1092000</v>
      </c>
      <c r="F27" s="231">
        <f>SUM(F29+F30+F31+F32)</f>
        <v>1204947</v>
      </c>
      <c r="G27" s="214">
        <f>SUM(G29+G30+G31+G32)</f>
        <v>779947</v>
      </c>
      <c r="H27" s="210">
        <f>SUM(H29+H30+H31+H32)</f>
        <v>470261</v>
      </c>
      <c r="I27" s="210"/>
      <c r="J27" s="210">
        <f>SUM(J29+J30+J31)</f>
        <v>104000</v>
      </c>
      <c r="K27" s="217">
        <f>SUM(K29+K30+K31)</f>
        <v>425000</v>
      </c>
      <c r="L27" s="213">
        <f>SUM(L29:L31)</f>
        <v>0</v>
      </c>
    </row>
    <row r="28" spans="1:12" s="8" customFormat="1" ht="18" customHeight="1">
      <c r="A28" s="320"/>
      <c r="B28" s="201">
        <v>75405</v>
      </c>
      <c r="C28" s="321" t="s">
        <v>419</v>
      </c>
      <c r="D28" s="271"/>
      <c r="E28" s="272">
        <v>40000</v>
      </c>
      <c r="F28" s="322"/>
      <c r="G28" s="273"/>
      <c r="H28" s="274"/>
      <c r="I28" s="274"/>
      <c r="J28" s="272"/>
      <c r="K28" s="323"/>
      <c r="L28" s="275"/>
    </row>
    <row r="29" spans="1:12" s="6" customFormat="1" ht="14.25" customHeight="1">
      <c r="A29" s="11"/>
      <c r="B29" s="12">
        <v>75412</v>
      </c>
      <c r="C29" s="32" t="s">
        <v>204</v>
      </c>
      <c r="D29" s="208">
        <v>208836</v>
      </c>
      <c r="E29" s="207">
        <v>1052000</v>
      </c>
      <c r="F29" s="230">
        <f>SUM(G29+K29+L29)</f>
        <v>580000</v>
      </c>
      <c r="G29" s="219">
        <v>210000</v>
      </c>
      <c r="H29" s="105">
        <v>30950</v>
      </c>
      <c r="I29" s="105"/>
      <c r="J29" s="207">
        <v>104000</v>
      </c>
      <c r="K29" s="208">
        <v>370000</v>
      </c>
      <c r="L29" s="209"/>
    </row>
    <row r="30" spans="1:12" ht="14.25" customHeight="1">
      <c r="A30" s="11"/>
      <c r="B30" s="12">
        <v>75414</v>
      </c>
      <c r="C30" s="32" t="s">
        <v>198</v>
      </c>
      <c r="D30" s="208">
        <v>12000</v>
      </c>
      <c r="E30" s="207"/>
      <c r="F30" s="230">
        <f>SUM(G30+K30+L30)</f>
        <v>67400</v>
      </c>
      <c r="G30" s="219">
        <v>12400</v>
      </c>
      <c r="H30" s="105"/>
      <c r="I30" s="105"/>
      <c r="J30" s="207"/>
      <c r="K30" s="208">
        <v>55000</v>
      </c>
      <c r="L30" s="209"/>
    </row>
    <row r="31" spans="1:12" ht="14.25" customHeight="1">
      <c r="A31" s="11"/>
      <c r="B31" s="12">
        <v>75416</v>
      </c>
      <c r="C31" s="109" t="s">
        <v>263</v>
      </c>
      <c r="D31" s="208">
        <v>442315</v>
      </c>
      <c r="E31" s="207"/>
      <c r="F31" s="230">
        <f>SUM(G31+K31+L31)</f>
        <v>492686</v>
      </c>
      <c r="G31" s="219">
        <v>492686</v>
      </c>
      <c r="H31" s="105">
        <v>439311</v>
      </c>
      <c r="I31" s="105"/>
      <c r="J31" s="207"/>
      <c r="K31" s="208"/>
      <c r="L31" s="209"/>
    </row>
    <row r="32" spans="1:12" ht="14.25" customHeight="1">
      <c r="A32" s="11"/>
      <c r="B32" s="12">
        <v>75421</v>
      </c>
      <c r="C32" s="576" t="s">
        <v>27</v>
      </c>
      <c r="D32" s="208"/>
      <c r="E32" s="207"/>
      <c r="F32" s="230">
        <f>SUM(G32+K32+L32)</f>
        <v>64861</v>
      </c>
      <c r="G32" s="219">
        <v>64861</v>
      </c>
      <c r="H32" s="219"/>
      <c r="I32" s="105"/>
      <c r="J32" s="207"/>
      <c r="K32" s="208"/>
      <c r="L32" s="209"/>
    </row>
    <row r="33" spans="1:13" s="6" customFormat="1" ht="60.75" customHeight="1">
      <c r="A33" s="81">
        <v>756</v>
      </c>
      <c r="B33" s="12"/>
      <c r="C33" s="108" t="s">
        <v>335</v>
      </c>
      <c r="D33" s="220">
        <f>SUM(D34)</f>
        <v>110000</v>
      </c>
      <c r="E33" s="232"/>
      <c r="F33" s="221">
        <f>SUM(F34)</f>
        <v>115000</v>
      </c>
      <c r="G33" s="218">
        <f>SUM(G34)</f>
        <v>115000</v>
      </c>
      <c r="H33" s="218">
        <f>SUM(H34)</f>
        <v>90000</v>
      </c>
      <c r="I33" s="105"/>
      <c r="J33" s="207"/>
      <c r="K33" s="208"/>
      <c r="L33" s="209"/>
      <c r="M33" s="6" t="s">
        <v>197</v>
      </c>
    </row>
    <row r="34" spans="1:12" s="6" customFormat="1" ht="27" customHeight="1">
      <c r="A34" s="11"/>
      <c r="B34" s="12">
        <v>75647</v>
      </c>
      <c r="C34" s="107" t="s">
        <v>272</v>
      </c>
      <c r="D34" s="208">
        <v>110000</v>
      </c>
      <c r="E34" s="207"/>
      <c r="F34" s="230">
        <f>SUM(G34+K34+L34)</f>
        <v>115000</v>
      </c>
      <c r="G34" s="219">
        <v>115000</v>
      </c>
      <c r="H34" s="105">
        <v>90000</v>
      </c>
      <c r="I34" s="105"/>
      <c r="J34" s="207" t="s">
        <v>197</v>
      </c>
      <c r="K34" s="208"/>
      <c r="L34" s="209"/>
    </row>
    <row r="35" spans="1:12" s="6" customFormat="1" ht="15.75" customHeight="1">
      <c r="A35" s="9">
        <v>757</v>
      </c>
      <c r="B35" s="10"/>
      <c r="C35" s="33" t="s">
        <v>230</v>
      </c>
      <c r="D35" s="220">
        <f>SUM(D36:D37)</f>
        <v>290500</v>
      </c>
      <c r="E35" s="232"/>
      <c r="F35" s="221">
        <f>SUM(F36:F37)</f>
        <v>319500</v>
      </c>
      <c r="G35" s="218">
        <f>SUM(G36:G37)</f>
        <v>319500</v>
      </c>
      <c r="H35" s="105"/>
      <c r="I35" s="236">
        <f>SUM(I36:I37)</f>
        <v>319500</v>
      </c>
      <c r="J35" s="207"/>
      <c r="K35" s="208"/>
      <c r="L35" s="209"/>
    </row>
    <row r="36" spans="1:12" s="6" customFormat="1" ht="35.25" customHeight="1">
      <c r="A36" s="11"/>
      <c r="B36" s="12">
        <v>75702</v>
      </c>
      <c r="C36" s="31" t="s">
        <v>396</v>
      </c>
      <c r="D36" s="208">
        <v>290500</v>
      </c>
      <c r="E36" s="207"/>
      <c r="F36" s="230">
        <f>SUM(G36+K36+L36)</f>
        <v>270000</v>
      </c>
      <c r="G36" s="219">
        <v>270000</v>
      </c>
      <c r="H36" s="105"/>
      <c r="I36" s="105">
        <v>270000</v>
      </c>
      <c r="J36" s="207"/>
      <c r="K36" s="208"/>
      <c r="L36" s="209"/>
    </row>
    <row r="37" spans="1:12" s="6" customFormat="1" ht="36" customHeight="1">
      <c r="A37" s="11"/>
      <c r="B37" s="12">
        <v>75704</v>
      </c>
      <c r="C37" s="31" t="s">
        <v>313</v>
      </c>
      <c r="D37" s="208"/>
      <c r="E37" s="207"/>
      <c r="F37" s="230">
        <f>SUM(G37+K37+L37)</f>
        <v>49500</v>
      </c>
      <c r="G37" s="219">
        <v>49500</v>
      </c>
      <c r="H37" s="105"/>
      <c r="I37" s="105">
        <v>49500</v>
      </c>
      <c r="J37" s="207"/>
      <c r="K37" s="208"/>
      <c r="L37" s="209"/>
    </row>
    <row r="38" spans="1:12" s="8" customFormat="1" ht="12.75">
      <c r="A38" s="9">
        <v>758</v>
      </c>
      <c r="B38" s="10"/>
      <c r="C38" s="33" t="s">
        <v>199</v>
      </c>
      <c r="D38" s="212">
        <f>+D39+D40</f>
        <v>16085</v>
      </c>
      <c r="E38" s="211">
        <f>+E39+E40</f>
        <v>50000</v>
      </c>
      <c r="F38" s="231">
        <f>+F39+F40</f>
        <v>100000</v>
      </c>
      <c r="G38" s="214">
        <f>+G39+G40</f>
        <v>100000</v>
      </c>
      <c r="H38" s="210"/>
      <c r="I38" s="210"/>
      <c r="J38" s="211"/>
      <c r="K38" s="212">
        <f>+K39+K40</f>
        <v>0</v>
      </c>
      <c r="L38" s="231">
        <f>+L39+L40</f>
        <v>0</v>
      </c>
    </row>
    <row r="39" spans="1:12" ht="22.5">
      <c r="A39" s="11"/>
      <c r="B39" s="12">
        <v>75809</v>
      </c>
      <c r="C39" s="31" t="s">
        <v>256</v>
      </c>
      <c r="D39" s="208">
        <v>15000</v>
      </c>
      <c r="E39" s="207">
        <v>50000</v>
      </c>
      <c r="F39" s="230">
        <f>SUM(G39+K39+L39)</f>
        <v>0</v>
      </c>
      <c r="G39" s="219"/>
      <c r="H39" s="105"/>
      <c r="I39" s="105"/>
      <c r="J39" s="207"/>
      <c r="K39" s="208"/>
      <c r="L39" s="209"/>
    </row>
    <row r="40" spans="1:12" ht="14.25" customHeight="1">
      <c r="A40" s="11"/>
      <c r="B40" s="12">
        <v>75818</v>
      </c>
      <c r="C40" s="32" t="s">
        <v>231</v>
      </c>
      <c r="D40" s="208">
        <v>1085</v>
      </c>
      <c r="E40" s="207"/>
      <c r="F40" s="230">
        <f>SUM(G40+K40+L40)</f>
        <v>100000</v>
      </c>
      <c r="G40" s="219">
        <v>100000</v>
      </c>
      <c r="H40" s="105"/>
      <c r="I40" s="105"/>
      <c r="J40" s="207"/>
      <c r="K40" s="208"/>
      <c r="L40" s="209"/>
    </row>
    <row r="41" spans="1:12" s="8" customFormat="1" ht="14.25" customHeight="1">
      <c r="A41" s="9">
        <v>801</v>
      </c>
      <c r="B41" s="10"/>
      <c r="C41" s="33" t="s">
        <v>232</v>
      </c>
      <c r="D41" s="742">
        <f>SUM(D42:D51)</f>
        <v>28719367.4</v>
      </c>
      <c r="E41" s="743">
        <f>SUM(E42:E51)</f>
        <v>1788629.6</v>
      </c>
      <c r="F41" s="231">
        <f>SUM(F42:F51)</f>
        <v>32042651</v>
      </c>
      <c r="G41" s="214">
        <f>SUM(G42:G51)</f>
        <v>29754333</v>
      </c>
      <c r="H41" s="210">
        <f>SUM(H42:H51)</f>
        <v>23580523</v>
      </c>
      <c r="I41" s="210"/>
      <c r="J41" s="211">
        <f>SUM(J42:J51)</f>
        <v>783138</v>
      </c>
      <c r="K41" s="212">
        <f>SUM(K42:K51)</f>
        <v>2288318</v>
      </c>
      <c r="L41" s="213"/>
    </row>
    <row r="42" spans="1:12" ht="14.25" customHeight="1">
      <c r="A42" s="11"/>
      <c r="B42" s="12">
        <v>80101</v>
      </c>
      <c r="C42" s="32" t="s">
        <v>220</v>
      </c>
      <c r="D42" s="317">
        <v>13188995.4</v>
      </c>
      <c r="E42" s="741">
        <v>1768899.6</v>
      </c>
      <c r="F42" s="230">
        <f aca="true" t="shared" si="2" ref="F42:F51">SUM(G42+K42+L42)</f>
        <v>16335160</v>
      </c>
      <c r="G42" s="219">
        <f>13861842+200000</f>
        <v>14061842</v>
      </c>
      <c r="H42" s="105">
        <v>11525420</v>
      </c>
      <c r="I42" s="105"/>
      <c r="J42" s="207">
        <v>445109</v>
      </c>
      <c r="K42" s="208">
        <v>2273318</v>
      </c>
      <c r="L42" s="209"/>
    </row>
    <row r="43" spans="1:12" ht="22.5" customHeight="1">
      <c r="A43" s="11"/>
      <c r="B43" s="12">
        <v>80103</v>
      </c>
      <c r="C43" s="31" t="s">
        <v>336</v>
      </c>
      <c r="D43" s="208">
        <v>968786</v>
      </c>
      <c r="E43" s="207"/>
      <c r="F43" s="230">
        <f t="shared" si="2"/>
        <v>1079701</v>
      </c>
      <c r="G43" s="219">
        <v>1079701</v>
      </c>
      <c r="H43" s="105">
        <v>779371</v>
      </c>
      <c r="I43" s="105"/>
      <c r="J43" s="207">
        <v>98532</v>
      </c>
      <c r="K43" s="208"/>
      <c r="L43" s="209"/>
    </row>
    <row r="44" spans="1:12" ht="15" customHeight="1">
      <c r="A44" s="11"/>
      <c r="B44" s="12">
        <v>80104</v>
      </c>
      <c r="C44" s="31" t="s">
        <v>307</v>
      </c>
      <c r="D44" s="208">
        <v>3790016</v>
      </c>
      <c r="E44" s="207">
        <v>12330</v>
      </c>
      <c r="F44" s="230">
        <f t="shared" si="2"/>
        <v>4015126</v>
      </c>
      <c r="G44" s="219">
        <v>4015126</v>
      </c>
      <c r="H44" s="105">
        <v>3028952</v>
      </c>
      <c r="I44" s="105"/>
      <c r="J44" s="207"/>
      <c r="K44" s="208"/>
      <c r="L44" s="209"/>
    </row>
    <row r="45" spans="1:12" ht="15.75" customHeight="1">
      <c r="A45" s="11"/>
      <c r="B45" s="12">
        <v>80110</v>
      </c>
      <c r="C45" s="32" t="s">
        <v>193</v>
      </c>
      <c r="D45" s="208">
        <v>7160857</v>
      </c>
      <c r="E45" s="207"/>
      <c r="F45" s="230">
        <f t="shared" si="2"/>
        <v>7070940</v>
      </c>
      <c r="G45" s="219">
        <v>7070940</v>
      </c>
      <c r="H45" s="219">
        <v>6084405</v>
      </c>
      <c r="I45" s="105"/>
      <c r="J45" s="207">
        <v>239497</v>
      </c>
      <c r="K45" s="208"/>
      <c r="L45" s="209"/>
    </row>
    <row r="46" spans="1:12" ht="15" customHeight="1">
      <c r="A46" s="11"/>
      <c r="B46" s="12">
        <v>80114</v>
      </c>
      <c r="C46" s="31" t="s">
        <v>395</v>
      </c>
      <c r="D46" s="208">
        <v>341441</v>
      </c>
      <c r="E46" s="207">
        <v>7400</v>
      </c>
      <c r="F46" s="230">
        <f t="shared" si="2"/>
        <v>419943</v>
      </c>
      <c r="G46" s="219">
        <v>404943</v>
      </c>
      <c r="H46" s="105">
        <v>354135</v>
      </c>
      <c r="I46" s="105"/>
      <c r="J46" s="207"/>
      <c r="K46" s="208">
        <v>15000</v>
      </c>
      <c r="L46" s="209"/>
    </row>
    <row r="47" spans="1:12" ht="14.25" customHeight="1">
      <c r="A47" s="11"/>
      <c r="B47" s="12">
        <v>80120</v>
      </c>
      <c r="C47" s="32" t="s">
        <v>221</v>
      </c>
      <c r="D47" s="208">
        <v>1596159</v>
      </c>
      <c r="E47" s="207"/>
      <c r="F47" s="230">
        <f t="shared" si="2"/>
        <v>1674700</v>
      </c>
      <c r="G47" s="219">
        <v>1674700</v>
      </c>
      <c r="H47" s="105">
        <v>1508000</v>
      </c>
      <c r="I47" s="105"/>
      <c r="J47" s="207"/>
      <c r="K47" s="208"/>
      <c r="L47" s="209"/>
    </row>
    <row r="48" spans="1:12" s="6" customFormat="1" ht="15" customHeight="1">
      <c r="A48" s="11"/>
      <c r="B48" s="12">
        <v>80130</v>
      </c>
      <c r="C48" s="32" t="s">
        <v>273</v>
      </c>
      <c r="D48" s="208">
        <v>23744</v>
      </c>
      <c r="E48" s="207" t="s">
        <v>197</v>
      </c>
      <c r="F48" s="230">
        <f t="shared" si="2"/>
        <v>0</v>
      </c>
      <c r="G48" s="219"/>
      <c r="H48" s="105"/>
      <c r="I48" s="105"/>
      <c r="J48" s="207"/>
      <c r="K48" s="208"/>
      <c r="L48" s="209"/>
    </row>
    <row r="49" spans="1:12" s="6" customFormat="1" ht="14.25" customHeight="1">
      <c r="A49" s="11"/>
      <c r="B49" s="12">
        <v>80146</v>
      </c>
      <c r="C49" s="32" t="s">
        <v>337</v>
      </c>
      <c r="D49" s="208">
        <v>124383</v>
      </c>
      <c r="E49" s="207"/>
      <c r="F49" s="230">
        <f t="shared" si="2"/>
        <v>133312</v>
      </c>
      <c r="G49" s="219">
        <v>133312</v>
      </c>
      <c r="H49" s="105">
        <v>22869</v>
      </c>
      <c r="I49" s="105"/>
      <c r="J49" s="207"/>
      <c r="K49" s="208"/>
      <c r="L49" s="209"/>
    </row>
    <row r="50" spans="1:12" s="6" customFormat="1" ht="14.25" customHeight="1">
      <c r="A50" s="11"/>
      <c r="B50" s="12">
        <v>80148</v>
      </c>
      <c r="C50" s="32" t="s">
        <v>420</v>
      </c>
      <c r="D50" s="208">
        <v>1115853</v>
      </c>
      <c r="E50" s="207"/>
      <c r="F50" s="230">
        <f t="shared" si="2"/>
        <v>1313769</v>
      </c>
      <c r="G50" s="219">
        <v>1313769</v>
      </c>
      <c r="H50" s="105">
        <v>277371</v>
      </c>
      <c r="I50" s="105" t="s">
        <v>197</v>
      </c>
      <c r="J50" s="207"/>
      <c r="K50" s="208"/>
      <c r="L50" s="209"/>
    </row>
    <row r="51" spans="1:12" s="6" customFormat="1" ht="14.25" customHeight="1">
      <c r="A51" s="11"/>
      <c r="B51" s="12">
        <v>80195</v>
      </c>
      <c r="C51" s="32" t="s">
        <v>190</v>
      </c>
      <c r="D51" s="208">
        <v>409133</v>
      </c>
      <c r="E51" s="207"/>
      <c r="F51" s="230">
        <f t="shared" si="2"/>
        <v>0</v>
      </c>
      <c r="G51" s="219"/>
      <c r="H51" s="105"/>
      <c r="I51" s="105"/>
      <c r="J51" s="207"/>
      <c r="K51" s="208"/>
      <c r="L51" s="209"/>
    </row>
    <row r="52" spans="1:12" s="8" customFormat="1" ht="15" customHeight="1">
      <c r="A52" s="9">
        <v>851</v>
      </c>
      <c r="B52" s="10"/>
      <c r="C52" s="33" t="s">
        <v>194</v>
      </c>
      <c r="D52" s="212">
        <f>SUM(D54:D56)</f>
        <v>539824</v>
      </c>
      <c r="E52" s="211">
        <f>SUM(E53:E56)</f>
        <v>180000</v>
      </c>
      <c r="F52" s="269">
        <f>SUM(G52+K52+L52)</f>
        <v>500000</v>
      </c>
      <c r="G52" s="212">
        <f>SUM(G54:G55)</f>
        <v>500000</v>
      </c>
      <c r="H52" s="216">
        <f>SUM(H54:H55)</f>
        <v>55000</v>
      </c>
      <c r="I52" s="210">
        <f>SUM(I54:I55)</f>
        <v>0</v>
      </c>
      <c r="J52" s="214">
        <f>SUM(J54:J55)</f>
        <v>290140</v>
      </c>
      <c r="K52" s="212">
        <f>+K55</f>
        <v>0</v>
      </c>
      <c r="L52" s="213"/>
    </row>
    <row r="53" spans="1:12" s="8" customFormat="1" ht="15" customHeight="1">
      <c r="A53" s="9"/>
      <c r="B53" s="26">
        <v>85111</v>
      </c>
      <c r="C53" s="565" t="s">
        <v>25</v>
      </c>
      <c r="D53" s="212"/>
      <c r="E53" s="506">
        <v>180000</v>
      </c>
      <c r="F53" s="269"/>
      <c r="G53" s="214"/>
      <c r="H53" s="214"/>
      <c r="I53" s="214"/>
      <c r="J53" s="216"/>
      <c r="K53" s="212"/>
      <c r="L53" s="213"/>
    </row>
    <row r="54" spans="1:12" s="8" customFormat="1" ht="15" customHeight="1">
      <c r="A54" s="9"/>
      <c r="B54" s="201">
        <v>85153</v>
      </c>
      <c r="C54" s="270" t="s">
        <v>402</v>
      </c>
      <c r="D54" s="271">
        <v>10100</v>
      </c>
      <c r="E54" s="272"/>
      <c r="F54" s="230">
        <f>SUM(G54+K54+L54)</f>
        <v>10000</v>
      </c>
      <c r="G54" s="273">
        <v>10000</v>
      </c>
      <c r="H54" s="273"/>
      <c r="I54" s="274"/>
      <c r="J54" s="272">
        <v>4700</v>
      </c>
      <c r="K54" s="271"/>
      <c r="L54" s="275"/>
    </row>
    <row r="55" spans="1:12" s="6" customFormat="1" ht="15" customHeight="1">
      <c r="A55" s="11"/>
      <c r="B55" s="12">
        <v>85154</v>
      </c>
      <c r="C55" s="32" t="s">
        <v>206</v>
      </c>
      <c r="D55" s="208">
        <v>526724</v>
      </c>
      <c r="E55" s="207"/>
      <c r="F55" s="230">
        <f>SUM(G55+K55+L55)</f>
        <v>490000</v>
      </c>
      <c r="G55" s="219">
        <v>490000</v>
      </c>
      <c r="H55" s="105">
        <v>55000</v>
      </c>
      <c r="I55" s="105"/>
      <c r="J55" s="207">
        <v>285440</v>
      </c>
      <c r="K55" s="208"/>
      <c r="L55" s="209"/>
    </row>
    <row r="56" spans="1:12" s="6" customFormat="1" ht="15" customHeight="1">
      <c r="A56" s="11"/>
      <c r="B56" s="12">
        <v>85195</v>
      </c>
      <c r="C56" s="82" t="s">
        <v>190</v>
      </c>
      <c r="D56" s="208">
        <v>3000</v>
      </c>
      <c r="E56" s="207"/>
      <c r="F56" s="230"/>
      <c r="G56" s="219"/>
      <c r="H56" s="105"/>
      <c r="I56" s="105"/>
      <c r="J56" s="207"/>
      <c r="K56" s="208"/>
      <c r="L56" s="519"/>
    </row>
    <row r="57" spans="1:12" s="8" customFormat="1" ht="15.75" customHeight="1">
      <c r="A57" s="9">
        <v>852</v>
      </c>
      <c r="B57" s="10"/>
      <c r="C57" s="33" t="s">
        <v>306</v>
      </c>
      <c r="D57" s="742">
        <f>SUM(D58:D65)</f>
        <v>16214786.22</v>
      </c>
      <c r="E57" s="211">
        <f>SUM(E58:E65)</f>
        <v>4500</v>
      </c>
      <c r="F57" s="231">
        <f>SUM(F58:F65)</f>
        <v>15999517</v>
      </c>
      <c r="G57" s="214">
        <f>SUM(G58:G65)</f>
        <v>15999517</v>
      </c>
      <c r="H57" s="210">
        <f>SUM(H58:H65)</f>
        <v>1527450</v>
      </c>
      <c r="I57" s="210"/>
      <c r="J57" s="210">
        <f>SUM(J58:J65)</f>
        <v>370020</v>
      </c>
      <c r="K57" s="212">
        <f>SUM(K58:K65)</f>
        <v>0</v>
      </c>
      <c r="L57" s="231">
        <f>SUM(L58:L67)</f>
        <v>0</v>
      </c>
    </row>
    <row r="58" spans="1:12" s="6" customFormat="1" ht="15.75" customHeight="1">
      <c r="A58" s="11"/>
      <c r="B58" s="12">
        <v>85203</v>
      </c>
      <c r="C58" s="32" t="s">
        <v>340</v>
      </c>
      <c r="D58" s="208">
        <v>754616</v>
      </c>
      <c r="E58" s="207"/>
      <c r="F58" s="230">
        <f aca="true" t="shared" si="3" ref="F58:F63">SUM(G58+K58+L58)</f>
        <v>910020</v>
      </c>
      <c r="G58" s="219">
        <f>540000+370020</f>
        <v>910020</v>
      </c>
      <c r="H58" s="105">
        <v>212530</v>
      </c>
      <c r="I58" s="105"/>
      <c r="J58" s="207">
        <v>370020</v>
      </c>
      <c r="K58" s="208"/>
      <c r="L58" s="209"/>
    </row>
    <row r="59" spans="1:12" s="6" customFormat="1" ht="36" customHeight="1">
      <c r="A59" s="11"/>
      <c r="B59" s="12">
        <v>85212</v>
      </c>
      <c r="C59" s="94" t="s">
        <v>393</v>
      </c>
      <c r="D59" s="208">
        <v>10218898</v>
      </c>
      <c r="E59" s="207">
        <v>4500</v>
      </c>
      <c r="F59" s="230">
        <f t="shared" si="3"/>
        <v>11102136</v>
      </c>
      <c r="G59" s="219">
        <f>11079136+23000</f>
        <v>11102136</v>
      </c>
      <c r="H59" s="105">
        <v>255420</v>
      </c>
      <c r="I59" s="105"/>
      <c r="J59" s="207" t="s">
        <v>197</v>
      </c>
      <c r="K59" s="208"/>
      <c r="L59" s="209"/>
    </row>
    <row r="60" spans="1:12" ht="52.5" customHeight="1">
      <c r="A60" s="11"/>
      <c r="B60" s="12">
        <v>85213</v>
      </c>
      <c r="C60" s="31" t="s">
        <v>394</v>
      </c>
      <c r="D60" s="208">
        <v>60988</v>
      </c>
      <c r="E60" s="207"/>
      <c r="F60" s="230">
        <f t="shared" si="3"/>
        <v>62219</v>
      </c>
      <c r="G60" s="219">
        <v>62219</v>
      </c>
      <c r="H60" s="105"/>
      <c r="I60" s="105"/>
      <c r="J60" s="207"/>
      <c r="K60" s="208"/>
      <c r="L60" s="209"/>
    </row>
    <row r="61" spans="1:12" s="6" customFormat="1" ht="23.25" customHeight="1">
      <c r="A61" s="11"/>
      <c r="B61" s="12">
        <v>85214</v>
      </c>
      <c r="C61" s="31" t="s">
        <v>338</v>
      </c>
      <c r="D61" s="208">
        <v>1624457</v>
      </c>
      <c r="E61" s="207">
        <v>0</v>
      </c>
      <c r="F61" s="230">
        <f t="shared" si="3"/>
        <v>1605142</v>
      </c>
      <c r="G61" s="219">
        <f>658600+194542+550000+200000+2000</f>
        <v>1605142</v>
      </c>
      <c r="H61" s="105"/>
      <c r="I61" s="105"/>
      <c r="J61" s="207"/>
      <c r="K61" s="208"/>
      <c r="L61" s="209"/>
    </row>
    <row r="62" spans="1:12" ht="16.5" customHeight="1">
      <c r="A62" s="11"/>
      <c r="B62" s="12">
        <v>85215</v>
      </c>
      <c r="C62" s="32" t="s">
        <v>196</v>
      </c>
      <c r="D62" s="208">
        <v>800000</v>
      </c>
      <c r="E62" s="207"/>
      <c r="F62" s="230">
        <f t="shared" si="3"/>
        <v>650000</v>
      </c>
      <c r="G62" s="219">
        <v>650000</v>
      </c>
      <c r="H62" s="105"/>
      <c r="I62" s="105"/>
      <c r="J62" s="207"/>
      <c r="K62" s="208"/>
      <c r="L62" s="209"/>
    </row>
    <row r="63" spans="1:12" ht="14.25" customHeight="1">
      <c r="A63" s="11"/>
      <c r="B63" s="12">
        <v>85219</v>
      </c>
      <c r="C63" s="32" t="s">
        <v>222</v>
      </c>
      <c r="D63" s="208">
        <v>1089333</v>
      </c>
      <c r="E63" s="207"/>
      <c r="F63" s="230">
        <f t="shared" si="3"/>
        <v>1100000</v>
      </c>
      <c r="G63" s="219">
        <v>1100000</v>
      </c>
      <c r="H63" s="105">
        <v>1007000</v>
      </c>
      <c r="I63" s="105"/>
      <c r="J63" s="207"/>
      <c r="K63" s="208"/>
      <c r="L63" s="209"/>
    </row>
    <row r="64" spans="1:12" ht="14.25" customHeight="1">
      <c r="A64" s="11"/>
      <c r="B64" s="12">
        <v>85278</v>
      </c>
      <c r="C64" s="82" t="s">
        <v>392</v>
      </c>
      <c r="D64" s="208">
        <v>1392</v>
      </c>
      <c r="E64" s="207"/>
      <c r="F64" s="230"/>
      <c r="G64" s="219"/>
      <c r="H64" s="105"/>
      <c r="I64" s="105"/>
      <c r="J64" s="207"/>
      <c r="K64" s="208"/>
      <c r="L64" s="209"/>
    </row>
    <row r="65" spans="1:12" ht="14.25" customHeight="1">
      <c r="A65" s="11"/>
      <c r="B65" s="12">
        <v>85295</v>
      </c>
      <c r="C65" s="82" t="s">
        <v>190</v>
      </c>
      <c r="D65" s="317">
        <v>1665102.22</v>
      </c>
      <c r="E65" s="207"/>
      <c r="F65" s="230">
        <f>SUM(G65+K65+L65)</f>
        <v>570000</v>
      </c>
      <c r="G65" s="219">
        <f>450000+120000</f>
        <v>570000</v>
      </c>
      <c r="H65" s="105">
        <v>52500</v>
      </c>
      <c r="I65" s="105"/>
      <c r="J65" s="207"/>
      <c r="K65" s="208"/>
      <c r="L65" s="209"/>
    </row>
    <row r="66" spans="1:12" ht="24.75" customHeight="1">
      <c r="A66" s="81">
        <v>853</v>
      </c>
      <c r="B66" s="12"/>
      <c r="C66" s="84" t="s">
        <v>310</v>
      </c>
      <c r="D66" s="220">
        <f>SUM(D67:D69)</f>
        <v>198455</v>
      </c>
      <c r="E66" s="232">
        <f>SUM(E67:E69)</f>
        <v>50000</v>
      </c>
      <c r="F66" s="221">
        <f>SUM(F67:F69)</f>
        <v>274254</v>
      </c>
      <c r="G66" s="218">
        <f>SUM(G67:G69)</f>
        <v>174254</v>
      </c>
      <c r="H66" s="218">
        <f>SUM(H67:H68)</f>
        <v>116885</v>
      </c>
      <c r="I66" s="239">
        <f>SUM(I67:I69)</f>
        <v>0</v>
      </c>
      <c r="J66" s="215">
        <f>SUM(J67:J69)</f>
        <v>32000</v>
      </c>
      <c r="K66" s="220">
        <f>SUM(K67:K69)</f>
        <v>100000</v>
      </c>
      <c r="L66" s="209"/>
    </row>
    <row r="67" spans="1:12" ht="15.75" customHeight="1">
      <c r="A67" s="11"/>
      <c r="B67" s="12">
        <v>85305</v>
      </c>
      <c r="C67" s="83" t="s">
        <v>195</v>
      </c>
      <c r="D67" s="208">
        <v>136255</v>
      </c>
      <c r="E67" s="207"/>
      <c r="F67" s="230">
        <f>SUM(G67+K67+L67)</f>
        <v>138254</v>
      </c>
      <c r="G67" s="219">
        <v>138254</v>
      </c>
      <c r="H67" s="105">
        <v>116885</v>
      </c>
      <c r="I67" s="105"/>
      <c r="J67" s="207"/>
      <c r="K67" s="208"/>
      <c r="L67" s="209"/>
    </row>
    <row r="68" spans="1:12" ht="23.25" customHeight="1">
      <c r="A68" s="11"/>
      <c r="B68" s="12">
        <v>85311</v>
      </c>
      <c r="C68" s="107" t="s">
        <v>339</v>
      </c>
      <c r="D68" s="208">
        <v>30000</v>
      </c>
      <c r="E68" s="207">
        <v>50000</v>
      </c>
      <c r="F68" s="230">
        <f>SUM(G68+K68+L68)</f>
        <v>134000</v>
      </c>
      <c r="G68" s="219">
        <f>30000+4000</f>
        <v>34000</v>
      </c>
      <c r="H68" s="105"/>
      <c r="I68" s="105"/>
      <c r="J68" s="207">
        <f>28000+4000</f>
        <v>32000</v>
      </c>
      <c r="K68" s="208">
        <v>100000</v>
      </c>
      <c r="L68" s="209"/>
    </row>
    <row r="69" spans="1:12" ht="17.25" customHeight="1">
      <c r="A69" s="11"/>
      <c r="B69" s="12">
        <v>85334</v>
      </c>
      <c r="C69" s="102" t="s">
        <v>3</v>
      </c>
      <c r="D69" s="208">
        <v>32200</v>
      </c>
      <c r="E69" s="207"/>
      <c r="F69" s="230">
        <f>SUM(G69+K69+L69)</f>
        <v>2000</v>
      </c>
      <c r="G69" s="219">
        <v>2000</v>
      </c>
      <c r="H69" s="219"/>
      <c r="I69" s="219"/>
      <c r="J69" s="501"/>
      <c r="K69" s="208"/>
      <c r="L69" s="209"/>
    </row>
    <row r="70" spans="1:12" s="8" customFormat="1" ht="12.75">
      <c r="A70" s="9">
        <v>854</v>
      </c>
      <c r="B70" s="10"/>
      <c r="C70" s="34" t="s">
        <v>223</v>
      </c>
      <c r="D70" s="212">
        <f>SUM(D71:D73)</f>
        <v>380858</v>
      </c>
      <c r="E70" s="211"/>
      <c r="F70" s="231">
        <f>SUM(F71:F73)</f>
        <v>33355</v>
      </c>
      <c r="G70" s="214">
        <f>SUM(G71:G73)</f>
        <v>33355</v>
      </c>
      <c r="H70" s="214">
        <f>SUM(H71:H73)</f>
        <v>26630</v>
      </c>
      <c r="I70" s="214">
        <f>SUM(I71:I73)</f>
        <v>0</v>
      </c>
      <c r="J70" s="214">
        <f>SUM(J71:J73)</f>
        <v>0</v>
      </c>
      <c r="K70" s="212"/>
      <c r="L70" s="213"/>
    </row>
    <row r="71" spans="1:12" s="8" customFormat="1" ht="15.75" customHeight="1">
      <c r="A71" s="9"/>
      <c r="B71" s="201">
        <v>85404</v>
      </c>
      <c r="C71" s="200" t="s">
        <v>391</v>
      </c>
      <c r="D71" s="233">
        <v>36690</v>
      </c>
      <c r="E71" s="211"/>
      <c r="F71" s="230">
        <f>SUM(G71+K71+L71)</f>
        <v>33355</v>
      </c>
      <c r="G71" s="273">
        <v>33355</v>
      </c>
      <c r="H71" s="274">
        <v>26630</v>
      </c>
      <c r="I71" s="274"/>
      <c r="J71" s="272"/>
      <c r="K71" s="212"/>
      <c r="L71" s="213"/>
    </row>
    <row r="72" spans="1:12" ht="15" customHeight="1">
      <c r="A72" s="11"/>
      <c r="B72" s="12">
        <v>85415</v>
      </c>
      <c r="C72" s="32" t="s">
        <v>243</v>
      </c>
      <c r="D72" s="208">
        <v>322168</v>
      </c>
      <c r="E72" s="207"/>
      <c r="F72" s="230">
        <f>SUM(G72+K72+L72)</f>
        <v>0</v>
      </c>
      <c r="G72" s="219"/>
      <c r="H72" s="105"/>
      <c r="I72" s="105"/>
      <c r="J72" s="207"/>
      <c r="K72" s="208"/>
      <c r="L72" s="209"/>
    </row>
    <row r="73" spans="1:12" ht="15.75" customHeight="1">
      <c r="A73" s="11"/>
      <c r="B73" s="12">
        <v>85495</v>
      </c>
      <c r="C73" s="82" t="s">
        <v>190</v>
      </c>
      <c r="D73" s="208">
        <v>22000</v>
      </c>
      <c r="E73" s="207"/>
      <c r="F73" s="230">
        <f>SUM(G73+K73+L73)</f>
        <v>0</v>
      </c>
      <c r="G73" s="219"/>
      <c r="H73" s="105"/>
      <c r="I73" s="105"/>
      <c r="J73" s="207"/>
      <c r="K73" s="208"/>
      <c r="L73" s="209"/>
    </row>
    <row r="74" spans="1:12" s="8" customFormat="1" ht="22.5">
      <c r="A74" s="9">
        <v>900</v>
      </c>
      <c r="B74" s="10"/>
      <c r="C74" s="34" t="s">
        <v>352</v>
      </c>
      <c r="D74" s="224">
        <f aca="true" t="shared" si="4" ref="D74:K74">SUM(D75:D80)</f>
        <v>3768968</v>
      </c>
      <c r="E74" s="223">
        <f t="shared" si="4"/>
        <v>2111223</v>
      </c>
      <c r="F74" s="745">
        <f t="shared" si="4"/>
        <v>20577797</v>
      </c>
      <c r="G74" s="237">
        <f>SUM(G75:G80)</f>
        <v>3775000.4699999997</v>
      </c>
      <c r="H74" s="222">
        <f t="shared" si="4"/>
        <v>730000</v>
      </c>
      <c r="I74" s="222" t="s">
        <v>197</v>
      </c>
      <c r="J74" s="223"/>
      <c r="K74" s="744">
        <f t="shared" si="4"/>
        <v>16802796.53</v>
      </c>
      <c r="L74" s="213"/>
    </row>
    <row r="75" spans="1:12" ht="14.25" customHeight="1">
      <c r="A75" s="11"/>
      <c r="B75" s="12">
        <v>90001</v>
      </c>
      <c r="C75" s="31" t="s">
        <v>260</v>
      </c>
      <c r="D75" s="234">
        <v>0</v>
      </c>
      <c r="E75" s="207">
        <v>479103</v>
      </c>
      <c r="F75" s="746">
        <f aca="true" t="shared" si="5" ref="F75:F80">SUM(G75+K75+L75)</f>
        <v>4352596.53</v>
      </c>
      <c r="G75" s="219"/>
      <c r="H75" s="105"/>
      <c r="I75" s="105"/>
      <c r="J75" s="207"/>
      <c r="K75" s="317">
        <v>4352596.53</v>
      </c>
      <c r="L75" s="209"/>
    </row>
    <row r="76" spans="1:12" ht="14.25" customHeight="1">
      <c r="A76" s="11"/>
      <c r="B76" s="12">
        <v>90003</v>
      </c>
      <c r="C76" s="32" t="s">
        <v>233</v>
      </c>
      <c r="D76" s="208">
        <v>1395097</v>
      </c>
      <c r="E76" s="207"/>
      <c r="F76" s="230">
        <f t="shared" si="5"/>
        <v>1250000</v>
      </c>
      <c r="G76" s="219">
        <v>1250000</v>
      </c>
      <c r="H76" s="105">
        <v>650000</v>
      </c>
      <c r="I76" s="105"/>
      <c r="J76" s="207"/>
      <c r="K76" s="208"/>
      <c r="L76" s="209"/>
    </row>
    <row r="77" spans="1:12" ht="14.25" customHeight="1">
      <c r="A77" s="11"/>
      <c r="B77" s="12">
        <v>90004</v>
      </c>
      <c r="C77" s="32" t="s">
        <v>240</v>
      </c>
      <c r="D77" s="208">
        <v>70000</v>
      </c>
      <c r="E77" s="207"/>
      <c r="F77" s="230">
        <f t="shared" si="5"/>
        <v>100000</v>
      </c>
      <c r="G77" s="219">
        <v>100000</v>
      </c>
      <c r="H77" s="105"/>
      <c r="I77" s="105"/>
      <c r="J77" s="207"/>
      <c r="K77" s="208"/>
      <c r="L77" s="209"/>
    </row>
    <row r="78" spans="1:12" ht="14.25" customHeight="1">
      <c r="A78" s="11"/>
      <c r="B78" s="12">
        <v>90013</v>
      </c>
      <c r="C78" s="32" t="s">
        <v>5</v>
      </c>
      <c r="D78" s="208">
        <v>98740</v>
      </c>
      <c r="E78" s="207"/>
      <c r="F78" s="230">
        <f t="shared" si="5"/>
        <v>115000</v>
      </c>
      <c r="G78" s="219">
        <v>115000</v>
      </c>
      <c r="H78" s="105">
        <v>80000</v>
      </c>
      <c r="I78" s="105"/>
      <c r="J78" s="207"/>
      <c r="K78" s="208"/>
      <c r="L78" s="209"/>
    </row>
    <row r="79" spans="1:12" ht="14.25" customHeight="1">
      <c r="A79" s="11"/>
      <c r="B79" s="12">
        <v>90015</v>
      </c>
      <c r="C79" s="32" t="s">
        <v>234</v>
      </c>
      <c r="D79" s="208">
        <v>1373050</v>
      </c>
      <c r="E79" s="207">
        <v>481300</v>
      </c>
      <c r="F79" s="230">
        <f t="shared" si="5"/>
        <v>1896000</v>
      </c>
      <c r="G79" s="219">
        <v>1450000</v>
      </c>
      <c r="H79" s="105"/>
      <c r="I79" s="105"/>
      <c r="J79" s="207"/>
      <c r="K79" s="208">
        <v>446000</v>
      </c>
      <c r="L79" s="209"/>
    </row>
    <row r="80" spans="1:12" ht="14.25" customHeight="1">
      <c r="A80" s="11"/>
      <c r="B80" s="12">
        <v>90095</v>
      </c>
      <c r="C80" s="32" t="s">
        <v>190</v>
      </c>
      <c r="D80" s="208">
        <v>832081</v>
      </c>
      <c r="E80" s="207">
        <v>1150820</v>
      </c>
      <c r="F80" s="746">
        <f t="shared" si="5"/>
        <v>12864200.47</v>
      </c>
      <c r="G80" s="747">
        <v>860000.47</v>
      </c>
      <c r="H80" s="105"/>
      <c r="I80" s="105"/>
      <c r="J80" s="207"/>
      <c r="K80" s="208">
        <v>12004200</v>
      </c>
      <c r="L80" s="209"/>
    </row>
    <row r="81" spans="1:12" s="8" customFormat="1" ht="22.5">
      <c r="A81" s="9">
        <v>921</v>
      </c>
      <c r="B81" s="10"/>
      <c r="C81" s="34" t="s">
        <v>235</v>
      </c>
      <c r="D81" s="212">
        <f>SUM(D82:D84)</f>
        <v>2862715</v>
      </c>
      <c r="E81" s="211">
        <f>SUM(E82:E84)</f>
        <v>798711</v>
      </c>
      <c r="F81" s="231">
        <f aca="true" t="shared" si="6" ref="F81:K81">SUM(F82:F84)</f>
        <v>6189273</v>
      </c>
      <c r="G81" s="214">
        <f>SUM(G82:G84)</f>
        <v>2133550</v>
      </c>
      <c r="H81" s="225"/>
      <c r="I81" s="225"/>
      <c r="J81" s="211">
        <f t="shared" si="6"/>
        <v>2133550</v>
      </c>
      <c r="K81" s="212">
        <f t="shared" si="6"/>
        <v>4055723</v>
      </c>
      <c r="L81" s="213"/>
    </row>
    <row r="82" spans="1:12" ht="14.25" customHeight="1">
      <c r="A82" s="11"/>
      <c r="B82" s="12">
        <v>92109</v>
      </c>
      <c r="C82" s="32" t="s">
        <v>236</v>
      </c>
      <c r="D82" s="208">
        <v>2108400</v>
      </c>
      <c r="E82" s="207">
        <v>798711</v>
      </c>
      <c r="F82" s="230">
        <f>SUM(G82+K82+L82)</f>
        <v>5374273</v>
      </c>
      <c r="G82" s="219">
        <v>1318550</v>
      </c>
      <c r="H82" s="102"/>
      <c r="I82" s="102"/>
      <c r="J82" s="207">
        <f>770700+337850+80000+130000</f>
        <v>1318550</v>
      </c>
      <c r="K82" s="208">
        <v>4055723</v>
      </c>
      <c r="L82" s="209"/>
    </row>
    <row r="83" spans="1:12" ht="14.25" customHeight="1">
      <c r="A83" s="11"/>
      <c r="B83" s="12">
        <v>92116</v>
      </c>
      <c r="C83" s="32" t="s">
        <v>205</v>
      </c>
      <c r="D83" s="208">
        <v>405315</v>
      </c>
      <c r="E83" s="207"/>
      <c r="F83" s="230">
        <f>SUM(G83+K83+L83)</f>
        <v>470000</v>
      </c>
      <c r="G83" s="219">
        <v>470000</v>
      </c>
      <c r="H83" s="102"/>
      <c r="I83" s="102" t="s">
        <v>197</v>
      </c>
      <c r="J83" s="207">
        <v>470000</v>
      </c>
      <c r="K83" s="208"/>
      <c r="L83" s="209"/>
    </row>
    <row r="84" spans="1:12" ht="14.25" customHeight="1">
      <c r="A84" s="11"/>
      <c r="B84" s="12">
        <v>92118</v>
      </c>
      <c r="C84" s="32" t="s">
        <v>237</v>
      </c>
      <c r="D84" s="208">
        <v>349000</v>
      </c>
      <c r="E84" s="207"/>
      <c r="F84" s="230">
        <f>SUM(G84+K84+L84)</f>
        <v>345000</v>
      </c>
      <c r="G84" s="219">
        <v>345000</v>
      </c>
      <c r="H84" s="102"/>
      <c r="I84" s="102"/>
      <c r="J84" s="207">
        <v>345000</v>
      </c>
      <c r="K84" s="208"/>
      <c r="L84" s="209"/>
    </row>
    <row r="85" spans="1:12" s="8" customFormat="1" ht="14.25" customHeight="1">
      <c r="A85" s="9">
        <v>926</v>
      </c>
      <c r="B85" s="10"/>
      <c r="C85" s="33" t="s">
        <v>201</v>
      </c>
      <c r="D85" s="212">
        <f>SUM(D87:D88)</f>
        <v>944496</v>
      </c>
      <c r="E85" s="211">
        <f>SUM(E86:E88)</f>
        <v>1552136</v>
      </c>
      <c r="F85" s="231">
        <f>SUM(F86:F88)</f>
        <v>2466675</v>
      </c>
      <c r="G85" s="214">
        <f>SUM(G87:G88)</f>
        <v>931675</v>
      </c>
      <c r="H85" s="214">
        <f>SUM(H87:H88)</f>
        <v>30950</v>
      </c>
      <c r="I85" s="225"/>
      <c r="J85" s="216">
        <f>SUM(J87:J88)</f>
        <v>577610</v>
      </c>
      <c r="K85" s="212">
        <f>SUM(K86:K88)</f>
        <v>1535000</v>
      </c>
      <c r="L85" s="213"/>
    </row>
    <row r="86" spans="1:12" s="8" customFormat="1" ht="14.25" customHeight="1">
      <c r="A86" s="502"/>
      <c r="B86" s="505">
        <v>92601</v>
      </c>
      <c r="C86" s="504" t="s">
        <v>1</v>
      </c>
      <c r="D86" s="503"/>
      <c r="E86" s="506">
        <v>1451334</v>
      </c>
      <c r="F86" s="230">
        <f>SUM(G86+K86+L86)</f>
        <v>1500000</v>
      </c>
      <c r="G86" s="214"/>
      <c r="H86" s="214"/>
      <c r="I86" s="225"/>
      <c r="J86" s="216"/>
      <c r="K86" s="271">
        <v>1500000</v>
      </c>
      <c r="L86" s="213"/>
    </row>
    <row r="87" spans="1:12" ht="15.75" customHeight="1">
      <c r="A87" s="19"/>
      <c r="B87" s="20">
        <v>92605</v>
      </c>
      <c r="C87" s="36" t="s">
        <v>257</v>
      </c>
      <c r="D87" s="235">
        <v>599873</v>
      </c>
      <c r="E87" s="207">
        <v>100802</v>
      </c>
      <c r="F87" s="230">
        <f>SUM(G87+K87+L87)</f>
        <v>626675</v>
      </c>
      <c r="G87" s="219">
        <v>591675</v>
      </c>
      <c r="H87" s="105">
        <v>30950</v>
      </c>
      <c r="I87" s="102"/>
      <c r="J87" s="207">
        <v>237610</v>
      </c>
      <c r="K87" s="208">
        <v>35000</v>
      </c>
      <c r="L87" s="209">
        <v>0</v>
      </c>
    </row>
    <row r="88" spans="1:12" ht="14.25" customHeight="1" thickBot="1">
      <c r="A88" s="85"/>
      <c r="B88" s="20">
        <v>92695</v>
      </c>
      <c r="C88" s="36" t="s">
        <v>311</v>
      </c>
      <c r="D88" s="235">
        <v>344623</v>
      </c>
      <c r="E88" s="227"/>
      <c r="F88" s="326">
        <f>SUM(G88+K88+L88)</f>
        <v>340000</v>
      </c>
      <c r="G88" s="238">
        <v>340000</v>
      </c>
      <c r="H88" s="226"/>
      <c r="I88" s="226"/>
      <c r="J88" s="227">
        <v>340000</v>
      </c>
      <c r="K88" s="520"/>
      <c r="L88" s="521"/>
    </row>
    <row r="89" spans="1:12" s="7" customFormat="1" ht="15.75" customHeight="1" thickBot="1">
      <c r="A89" s="21"/>
      <c r="B89" s="22"/>
      <c r="C89" s="37" t="s">
        <v>200</v>
      </c>
      <c r="D89" s="319">
        <f>SUM(D85+D81+D74+D70+D66+D57+D52+D41+D38+D35+D33+D27+D24+D19+D16+D13+D10+D6)</f>
        <v>67947024.12</v>
      </c>
      <c r="E89" s="319">
        <f>SUM(E85+E81+E74+E70+E66+E57+E52+E41+E38+E35+E33+E27+E24+E19+E16+E13+E10+E6)</f>
        <v>10450699.6</v>
      </c>
      <c r="F89" s="319">
        <f>SUM(F85+F81+F74+F70+F66+F57+F52+F41+F38+F35+F33+F27+F24+F19+F16+F13+F10+F6)</f>
        <v>105801087</v>
      </c>
      <c r="G89" s="319">
        <f>SUM(G85+G81+G74+G70+G66+G57+G52+G41+G38+G35+G33+G27+G24+G19+G16+G13+G10+G6)</f>
        <v>68134409.47</v>
      </c>
      <c r="H89" s="228">
        <f>SUM(H85+H81+H74+H70+H66+H57+H52+H41+H38+H35+H33+H27+H24+H19+H16+H13+H10+H6)</f>
        <v>31393480</v>
      </c>
      <c r="I89" s="228">
        <f>I35</f>
        <v>319500</v>
      </c>
      <c r="J89" s="228">
        <f>J27+J41+J52+J57+J66+J81+J85</f>
        <v>4290458</v>
      </c>
      <c r="K89" s="319">
        <f>SUM(K85+K81+K74+K70+K66+K57+K52+K41+K38+K35+K33+K27+K24+K19+K16+K13+K10+K6)</f>
        <v>37666677.53</v>
      </c>
      <c r="L89" s="228">
        <f>SUM(L85+L81+L74+L70+L66+L57+L52+L41+L38+L35+L33+L27+L24+L19+L16+L13+L10+L6)</f>
        <v>0</v>
      </c>
    </row>
    <row r="90" spans="8:13" ht="12.75">
      <c r="H90" s="27" t="s">
        <v>197</v>
      </c>
      <c r="M90" s="1" t="s">
        <v>197</v>
      </c>
    </row>
    <row r="92" spans="7:12" ht="12.75">
      <c r="G92" s="27" t="s">
        <v>358</v>
      </c>
      <c r="L92" s="1" t="s">
        <v>197</v>
      </c>
    </row>
    <row r="95" ht="12.75">
      <c r="K95" s="27" t="s">
        <v>197</v>
      </c>
    </row>
  </sheetData>
  <sheetProtection/>
  <mergeCells count="12">
    <mergeCell ref="L3:L5"/>
    <mergeCell ref="D3:E4"/>
    <mergeCell ref="K3:K5"/>
    <mergeCell ref="A2:K2"/>
    <mergeCell ref="A1:C1"/>
    <mergeCell ref="G3:J3"/>
    <mergeCell ref="G4:G5"/>
    <mergeCell ref="H4:J4"/>
    <mergeCell ref="F3:F5"/>
    <mergeCell ref="C3:C5"/>
    <mergeCell ref="A3:A5"/>
    <mergeCell ref="B3:B5"/>
  </mergeCells>
  <printOptions/>
  <pageMargins left="0.75" right="0.75" top="1" bottom="1" header="0.5" footer="0.5"/>
  <pageSetup horizontalDpi="300" verticalDpi="300" orientation="landscape" paperSize="9" scale="98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30.875" style="0" customWidth="1"/>
    <col min="4" max="4" width="10.875" style="0" customWidth="1"/>
    <col min="5" max="5" width="10.75390625" style="0" customWidth="1"/>
    <col min="6" max="6" width="11.00390625" style="0" customWidth="1"/>
    <col min="7" max="7" width="10.25390625" style="0" customWidth="1"/>
  </cols>
  <sheetData>
    <row r="1" spans="1:3" ht="52.5" customHeight="1">
      <c r="A1" s="757" t="s">
        <v>88</v>
      </c>
      <c r="B1" s="757"/>
      <c r="C1" s="757"/>
    </row>
    <row r="2" spans="1:7" ht="32.25" customHeight="1">
      <c r="A2" s="833" t="s">
        <v>20</v>
      </c>
      <c r="B2" s="833"/>
      <c r="C2" s="833"/>
      <c r="D2" s="833"/>
      <c r="E2" s="833"/>
      <c r="F2" s="833"/>
      <c r="G2" s="833"/>
    </row>
    <row r="3" ht="13.5" thickBot="1"/>
    <row r="4" spans="1:8" ht="27" customHeight="1">
      <c r="A4" s="840" t="s">
        <v>209</v>
      </c>
      <c r="B4" s="838" t="s">
        <v>188</v>
      </c>
      <c r="C4" s="836" t="s">
        <v>189</v>
      </c>
      <c r="D4" s="842" t="s">
        <v>21</v>
      </c>
      <c r="E4" s="834" t="s">
        <v>202</v>
      </c>
      <c r="F4" s="835"/>
      <c r="G4" s="66" t="s">
        <v>212</v>
      </c>
      <c r="H4" s="1"/>
    </row>
    <row r="5" spans="1:7" ht="36.75" thickBot="1">
      <c r="A5" s="841"/>
      <c r="B5" s="839"/>
      <c r="C5" s="837"/>
      <c r="D5" s="843"/>
      <c r="E5" s="69" t="s">
        <v>210</v>
      </c>
      <c r="F5" s="67" t="s">
        <v>211</v>
      </c>
      <c r="G5" s="68"/>
    </row>
    <row r="6" spans="1:7" ht="12.75">
      <c r="A6" s="23">
        <v>750</v>
      </c>
      <c r="B6" s="23"/>
      <c r="C6" s="23" t="s">
        <v>216</v>
      </c>
      <c r="D6" s="40">
        <f>SUM(D7:D7)</f>
        <v>214695</v>
      </c>
      <c r="E6" s="40">
        <f>SUM(E7:E7)</f>
        <v>214695</v>
      </c>
      <c r="F6" s="40">
        <f>SUM(F7)</f>
        <v>210235</v>
      </c>
      <c r="G6" s="40">
        <f>SUM(G7)</f>
        <v>0</v>
      </c>
    </row>
    <row r="7" spans="1:7" ht="12.75">
      <c r="A7" s="24"/>
      <c r="B7" s="24">
        <v>75011</v>
      </c>
      <c r="C7" s="24" t="s">
        <v>242</v>
      </c>
      <c r="D7" s="29">
        <v>214695</v>
      </c>
      <c r="E7" s="29">
        <v>214695</v>
      </c>
      <c r="F7" s="29">
        <v>210235</v>
      </c>
      <c r="G7" s="29"/>
    </row>
    <row r="8" spans="1:8" ht="36.75" customHeight="1">
      <c r="A8" s="25">
        <v>751</v>
      </c>
      <c r="B8" s="25"/>
      <c r="C8" s="18" t="s">
        <v>228</v>
      </c>
      <c r="D8" s="39">
        <f>SUM(D9:D9)</f>
        <v>5865</v>
      </c>
      <c r="E8" s="39">
        <f>SUM(E9:E9)</f>
        <v>5865</v>
      </c>
      <c r="F8" s="39">
        <f>SUM(F9:F9)</f>
        <v>5000</v>
      </c>
      <c r="G8" s="39"/>
      <c r="H8" t="s">
        <v>197</v>
      </c>
    </row>
    <row r="9" spans="1:7" ht="25.5" customHeight="1">
      <c r="A9" s="24"/>
      <c r="B9" s="12">
        <v>75101</v>
      </c>
      <c r="C9" s="15" t="s">
        <v>253</v>
      </c>
      <c r="D9" s="29">
        <v>5865</v>
      </c>
      <c r="E9" s="29">
        <v>5865</v>
      </c>
      <c r="F9" s="29">
        <v>5000</v>
      </c>
      <c r="G9" s="29"/>
    </row>
    <row r="10" spans="1:7" ht="24">
      <c r="A10" s="9">
        <v>754</v>
      </c>
      <c r="B10" s="10"/>
      <c r="C10" s="18" t="s">
        <v>229</v>
      </c>
      <c r="D10" s="39">
        <f>SUM(D11)</f>
        <v>2400</v>
      </c>
      <c r="E10" s="39">
        <f>SUM(E11)</f>
        <v>2400</v>
      </c>
      <c r="F10" s="39">
        <f>SUM(F11)</f>
        <v>0</v>
      </c>
      <c r="G10" s="39">
        <f>SUM(G11)</f>
        <v>0</v>
      </c>
    </row>
    <row r="11" spans="1:7" ht="14.25" customHeight="1">
      <c r="A11" s="24"/>
      <c r="B11" s="12">
        <v>75414</v>
      </c>
      <c r="C11" s="16" t="s">
        <v>198</v>
      </c>
      <c r="D11" s="29">
        <v>2400</v>
      </c>
      <c r="E11" s="29">
        <v>2400</v>
      </c>
      <c r="F11" s="29"/>
      <c r="G11" s="29"/>
    </row>
    <row r="12" spans="1:7" ht="15.75" customHeight="1">
      <c r="A12" s="9">
        <v>852</v>
      </c>
      <c r="B12" s="10"/>
      <c r="C12" s="17" t="s">
        <v>306</v>
      </c>
      <c r="D12" s="39">
        <f>SUM(D13:D16)</f>
        <v>12122975</v>
      </c>
      <c r="E12" s="39">
        <f>SUM(E13:E16)</f>
        <v>12122975</v>
      </c>
      <c r="F12" s="39">
        <f>SUM(F14:F16)</f>
        <v>255420</v>
      </c>
      <c r="G12" s="39">
        <f>SUM(G14:G16)</f>
        <v>0</v>
      </c>
    </row>
    <row r="13" spans="1:7" ht="15.75" customHeight="1">
      <c r="A13" s="9"/>
      <c r="B13" s="26">
        <v>85203</v>
      </c>
      <c r="C13" s="564" t="s">
        <v>340</v>
      </c>
      <c r="D13" s="29">
        <v>370020</v>
      </c>
      <c r="E13" s="29">
        <v>370020</v>
      </c>
      <c r="F13" s="29"/>
      <c r="G13" s="29"/>
    </row>
    <row r="14" spans="1:7" ht="52.5" customHeight="1">
      <c r="A14" s="9"/>
      <c r="B14" s="26">
        <v>85212</v>
      </c>
      <c r="C14" s="240" t="s">
        <v>389</v>
      </c>
      <c r="D14" s="46">
        <v>11032136</v>
      </c>
      <c r="E14" s="29">
        <v>11032136</v>
      </c>
      <c r="F14" s="29">
        <v>255420</v>
      </c>
      <c r="G14" s="39"/>
    </row>
    <row r="15" spans="1:7" ht="60">
      <c r="A15" s="9"/>
      <c r="B15" s="26">
        <v>85213</v>
      </c>
      <c r="C15" s="15" t="s">
        <v>394</v>
      </c>
      <c r="D15" s="29">
        <v>62219</v>
      </c>
      <c r="E15" s="29">
        <v>62219</v>
      </c>
      <c r="F15" s="29"/>
      <c r="G15" s="39"/>
    </row>
    <row r="16" spans="1:7" ht="35.25" customHeight="1">
      <c r="A16" s="24"/>
      <c r="B16" s="12">
        <v>85214</v>
      </c>
      <c r="C16" s="15" t="s">
        <v>344</v>
      </c>
      <c r="D16" s="29">
        <v>658600</v>
      </c>
      <c r="E16" s="29">
        <v>658600</v>
      </c>
      <c r="F16" s="29"/>
      <c r="G16" s="29"/>
    </row>
    <row r="17" spans="1:8" ht="12.75">
      <c r="A17" s="832" t="s">
        <v>200</v>
      </c>
      <c r="B17" s="832"/>
      <c r="C17" s="832"/>
      <c r="D17" s="39">
        <f>SUM(D6+D8+D10+D12)</f>
        <v>12345935</v>
      </c>
      <c r="E17" s="39">
        <f>SUM(E6+E8+E10+E12)</f>
        <v>12345935</v>
      </c>
      <c r="F17" s="39">
        <f>SUM(F6+F8+F10+F12)</f>
        <v>470655</v>
      </c>
      <c r="G17" s="39">
        <f>SUM(G6+G8+G10+G12)</f>
        <v>0</v>
      </c>
      <c r="H17" t="s">
        <v>197</v>
      </c>
    </row>
    <row r="19" spans="5:7" ht="12.75">
      <c r="E19" t="s">
        <v>197</v>
      </c>
      <c r="G19" t="s">
        <v>197</v>
      </c>
    </row>
    <row r="20" ht="12.75">
      <c r="C20" t="s">
        <v>197</v>
      </c>
    </row>
  </sheetData>
  <sheetProtection/>
  <mergeCells count="8">
    <mergeCell ref="A17:C17"/>
    <mergeCell ref="A2:G2"/>
    <mergeCell ref="A1:C1"/>
    <mergeCell ref="E4:F4"/>
    <mergeCell ref="C4:C5"/>
    <mergeCell ref="B4:B5"/>
    <mergeCell ref="A4:A5"/>
    <mergeCell ref="D4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125" style="0" customWidth="1"/>
    <col min="2" max="2" width="5.875" style="0" customWidth="1"/>
    <col min="3" max="3" width="5.125" style="0" customWidth="1"/>
    <col min="4" max="4" width="47.375" style="0" customWidth="1"/>
    <col min="5" max="5" width="21.875" style="0" customWidth="1"/>
  </cols>
  <sheetData>
    <row r="1" spans="1:4" ht="41.25" customHeight="1">
      <c r="A1" s="757" t="s">
        <v>78</v>
      </c>
      <c r="B1" s="757"/>
      <c r="C1" s="757"/>
      <c r="D1" s="757"/>
    </row>
    <row r="2" spans="1:4" ht="14.25" customHeight="1">
      <c r="A2" s="760" t="s">
        <v>145</v>
      </c>
      <c r="B2" s="760"/>
      <c r="C2" s="760"/>
      <c r="D2" s="760"/>
    </row>
    <row r="3" spans="1:4" ht="36" customHeight="1">
      <c r="A3" s="759" t="s">
        <v>478</v>
      </c>
      <c r="B3" s="759"/>
      <c r="C3" s="759"/>
      <c r="D3" s="759"/>
    </row>
    <row r="4" spans="1:5" ht="14.25" customHeight="1">
      <c r="A4" s="333"/>
      <c r="B4" s="333"/>
      <c r="C4" s="347"/>
      <c r="E4" s="347" t="s">
        <v>424</v>
      </c>
    </row>
    <row r="5" spans="1:5" ht="26.25" thickBot="1">
      <c r="A5" s="541" t="s">
        <v>355</v>
      </c>
      <c r="B5" s="542" t="s">
        <v>188</v>
      </c>
      <c r="C5" s="541" t="s">
        <v>262</v>
      </c>
      <c r="D5" s="541" t="s">
        <v>354</v>
      </c>
      <c r="E5" s="560" t="s">
        <v>186</v>
      </c>
    </row>
    <row r="6" spans="1:5" ht="16.5" customHeight="1" thickBot="1">
      <c r="A6" s="263" t="s">
        <v>465</v>
      </c>
      <c r="B6" s="264"/>
      <c r="C6" s="264"/>
      <c r="D6" s="543" t="s">
        <v>466</v>
      </c>
      <c r="E6" s="550">
        <v>1543</v>
      </c>
    </row>
    <row r="7" spans="1:5" ht="13.5" thickBot="1">
      <c r="A7" s="263" t="s">
        <v>467</v>
      </c>
      <c r="B7" s="544">
        <v>90011</v>
      </c>
      <c r="C7" s="544"/>
      <c r="D7" s="543" t="s">
        <v>468</v>
      </c>
      <c r="E7" s="550">
        <f>SUM(E8:E9)</f>
        <v>455000</v>
      </c>
    </row>
    <row r="8" spans="1:5" ht="12.75">
      <c r="A8" s="348" t="s">
        <v>428</v>
      </c>
      <c r="B8" s="348"/>
      <c r="C8" s="545">
        <v>970</v>
      </c>
      <c r="D8" s="546" t="s">
        <v>469</v>
      </c>
      <c r="E8" s="561">
        <v>450000</v>
      </c>
    </row>
    <row r="9" spans="1:5" ht="15" customHeight="1" thickBot="1">
      <c r="A9" s="351"/>
      <c r="B9" s="349"/>
      <c r="C9" s="547">
        <v>580</v>
      </c>
      <c r="D9" s="548" t="s">
        <v>470</v>
      </c>
      <c r="E9" s="562">
        <v>5000</v>
      </c>
    </row>
    <row r="10" spans="1:5" ht="13.5" thickBot="1">
      <c r="A10" s="263" t="s">
        <v>471</v>
      </c>
      <c r="B10" s="549"/>
      <c r="C10" s="544"/>
      <c r="D10" s="543" t="s">
        <v>472</v>
      </c>
      <c r="E10" s="550">
        <f>SUM(E11)</f>
        <v>440000</v>
      </c>
    </row>
    <row r="11" spans="1:5" ht="18" customHeight="1" thickBot="1">
      <c r="A11" s="350" t="s">
        <v>428</v>
      </c>
      <c r="B11" s="74">
        <v>90011</v>
      </c>
      <c r="C11" s="551"/>
      <c r="D11" s="552" t="s">
        <v>473</v>
      </c>
      <c r="E11" s="553">
        <f>SUM(E12:E19)</f>
        <v>440000</v>
      </c>
    </row>
    <row r="12" spans="1:5" ht="13.5" thickTop="1">
      <c r="A12" s="348"/>
      <c r="B12" s="348"/>
      <c r="C12" s="555">
        <v>4300</v>
      </c>
      <c r="D12" s="546" t="s">
        <v>474</v>
      </c>
      <c r="E12" s="561">
        <v>90000</v>
      </c>
    </row>
    <row r="13" spans="1:5" ht="12.75">
      <c r="A13" s="335"/>
      <c r="B13" s="335"/>
      <c r="C13" s="554">
        <v>4300</v>
      </c>
      <c r="D13" s="556" t="s">
        <v>475</v>
      </c>
      <c r="E13" s="563">
        <v>300000</v>
      </c>
    </row>
    <row r="14" spans="1:5" ht="15" customHeight="1">
      <c r="A14" s="335"/>
      <c r="B14" s="335"/>
      <c r="C14" s="554">
        <v>4300</v>
      </c>
      <c r="D14" s="556" t="s">
        <v>161</v>
      </c>
      <c r="E14" s="563">
        <v>10000</v>
      </c>
    </row>
    <row r="15" spans="1:5" ht="22.5" customHeight="1">
      <c r="A15" s="348"/>
      <c r="B15" s="557"/>
      <c r="C15" s="558">
        <v>4300</v>
      </c>
      <c r="D15" s="559" t="s">
        <v>162</v>
      </c>
      <c r="E15" s="561">
        <v>5000</v>
      </c>
    </row>
    <row r="16" spans="1:5" ht="15.75" customHeight="1">
      <c r="A16" s="348"/>
      <c r="B16" s="557"/>
      <c r="C16" s="558">
        <v>4210</v>
      </c>
      <c r="D16" s="546" t="s">
        <v>183</v>
      </c>
      <c r="E16" s="561">
        <v>15000</v>
      </c>
    </row>
    <row r="17" spans="1:5" ht="15.75" customHeight="1">
      <c r="A17" s="348"/>
      <c r="B17" s="557"/>
      <c r="C17" s="558">
        <v>4300</v>
      </c>
      <c r="D17" s="546" t="s">
        <v>144</v>
      </c>
      <c r="E17" s="561">
        <v>5000</v>
      </c>
    </row>
    <row r="18" spans="1:5" ht="12.75">
      <c r="A18" s="348"/>
      <c r="B18" s="348"/>
      <c r="C18" s="555">
        <v>4700</v>
      </c>
      <c r="D18" s="546" t="s">
        <v>184</v>
      </c>
      <c r="E18" s="561">
        <v>5000</v>
      </c>
    </row>
    <row r="19" spans="1:5" ht="13.5" thickBot="1">
      <c r="A19" s="335"/>
      <c r="B19" s="335"/>
      <c r="C19" s="554">
        <v>3040</v>
      </c>
      <c r="D19" s="556" t="s">
        <v>185</v>
      </c>
      <c r="E19" s="563">
        <v>10000</v>
      </c>
    </row>
    <row r="20" spans="1:5" ht="15" customHeight="1" thickBot="1">
      <c r="A20" s="263" t="s">
        <v>476</v>
      </c>
      <c r="B20" s="549"/>
      <c r="C20" s="544"/>
      <c r="D20" s="543" t="s">
        <v>477</v>
      </c>
      <c r="E20" s="550">
        <f>11543+5000</f>
        <v>16543</v>
      </c>
    </row>
  </sheetData>
  <sheetProtection/>
  <mergeCells count="3">
    <mergeCell ref="A3:D3"/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7.25390625" style="0" customWidth="1"/>
    <col min="4" max="4" width="29.125" style="0" customWidth="1"/>
    <col min="5" max="5" width="11.125" style="0" customWidth="1"/>
  </cols>
  <sheetData>
    <row r="1" spans="1:4" ht="54" customHeight="1">
      <c r="A1" s="757" t="s">
        <v>79</v>
      </c>
      <c r="B1" s="757"/>
      <c r="C1" s="757"/>
      <c r="D1" s="757"/>
    </row>
    <row r="3" spans="1:5" ht="15">
      <c r="A3" s="166" t="s">
        <v>376</v>
      </c>
      <c r="B3" s="166"/>
      <c r="C3" s="166"/>
      <c r="D3" s="166"/>
      <c r="E3" s="166"/>
    </row>
    <row r="5" ht="12.75">
      <c r="A5" s="143" t="s">
        <v>377</v>
      </c>
    </row>
    <row r="6" ht="13.5" thickBot="1"/>
    <row r="7" spans="1:5" ht="13.5" thickBot="1">
      <c r="A7" s="167" t="s">
        <v>209</v>
      </c>
      <c r="B7" s="168" t="s">
        <v>188</v>
      </c>
      <c r="C7" s="168"/>
      <c r="D7" s="168" t="s">
        <v>189</v>
      </c>
      <c r="E7" s="169" t="s">
        <v>378</v>
      </c>
    </row>
    <row r="8" spans="1:5" ht="13.5" thickBot="1">
      <c r="A8" s="170">
        <v>926</v>
      </c>
      <c r="B8" s="171"/>
      <c r="C8" s="171"/>
      <c r="D8" s="171" t="s">
        <v>201</v>
      </c>
      <c r="E8" s="172">
        <f>E9</f>
        <v>1434000</v>
      </c>
    </row>
    <row r="9" spans="1:5" ht="12.75">
      <c r="A9" s="23"/>
      <c r="B9" s="23">
        <v>92695</v>
      </c>
      <c r="C9" s="23"/>
      <c r="D9" s="23" t="s">
        <v>190</v>
      </c>
      <c r="E9" s="40">
        <f>SUM(E10:E11)</f>
        <v>1434000</v>
      </c>
    </row>
    <row r="10" spans="1:5" ht="12.75">
      <c r="A10" s="92"/>
      <c r="B10" s="92"/>
      <c r="C10" s="92" t="s">
        <v>251</v>
      </c>
      <c r="D10" s="92" t="s">
        <v>379</v>
      </c>
      <c r="E10" s="44">
        <v>1094000</v>
      </c>
    </row>
    <row r="11" spans="1:5" ht="27.75" customHeight="1" thickBot="1">
      <c r="A11" s="173"/>
      <c r="B11" s="173"/>
      <c r="C11" s="173"/>
      <c r="D11" s="174" t="s">
        <v>380</v>
      </c>
      <c r="E11" s="175">
        <v>340000</v>
      </c>
    </row>
    <row r="12" spans="1:5" ht="27.75" customHeight="1" thickTop="1">
      <c r="A12" s="27"/>
      <c r="B12" s="176"/>
      <c r="C12" s="176"/>
      <c r="D12" s="96" t="s">
        <v>381</v>
      </c>
      <c r="E12" s="42">
        <v>538</v>
      </c>
    </row>
    <row r="13" spans="4:5" ht="12.75">
      <c r="D13" s="177" t="s">
        <v>210</v>
      </c>
      <c r="E13" s="178">
        <f>E8+E12</f>
        <v>1434538</v>
      </c>
    </row>
    <row r="14" ht="12.75">
      <c r="A14" s="143" t="s">
        <v>382</v>
      </c>
    </row>
    <row r="15" ht="13.5" thickBot="1"/>
    <row r="16" spans="1:5" ht="13.5" thickBot="1">
      <c r="A16" s="167" t="s">
        <v>209</v>
      </c>
      <c r="B16" s="168" t="s">
        <v>188</v>
      </c>
      <c r="C16" s="168"/>
      <c r="D16" s="168" t="s">
        <v>189</v>
      </c>
      <c r="E16" s="169" t="s">
        <v>378</v>
      </c>
    </row>
    <row r="17" spans="1:5" ht="12.75">
      <c r="A17" s="179">
        <v>926</v>
      </c>
      <c r="B17" s="180"/>
      <c r="C17" s="180"/>
      <c r="D17" s="180" t="s">
        <v>201</v>
      </c>
      <c r="E17" s="181">
        <f>E18</f>
        <v>1434050</v>
      </c>
    </row>
    <row r="18" spans="1:5" ht="13.5" thickBot="1">
      <c r="A18" s="182"/>
      <c r="B18" s="182">
        <v>92695</v>
      </c>
      <c r="C18" s="182"/>
      <c r="D18" s="182" t="s">
        <v>190</v>
      </c>
      <c r="E18" s="183">
        <f>SUM(E19:E21)</f>
        <v>1434050</v>
      </c>
    </row>
    <row r="19" spans="1:5" ht="32.25" customHeight="1" thickTop="1">
      <c r="A19" s="176"/>
      <c r="B19" s="176"/>
      <c r="C19" s="184" t="s">
        <v>251</v>
      </c>
      <c r="D19" s="96" t="s">
        <v>383</v>
      </c>
      <c r="E19" s="42">
        <v>772500</v>
      </c>
    </row>
    <row r="20" spans="1:5" ht="18.75" customHeight="1">
      <c r="A20" s="508"/>
      <c r="B20" s="508"/>
      <c r="C20" s="508"/>
      <c r="D20" s="509" t="s">
        <v>384</v>
      </c>
      <c r="E20" s="41">
        <v>653550</v>
      </c>
    </row>
    <row r="21" spans="1:5" ht="18.75" customHeight="1" thickBot="1">
      <c r="A21" s="510"/>
      <c r="B21" s="173"/>
      <c r="C21" s="173"/>
      <c r="D21" s="174" t="s">
        <v>6</v>
      </c>
      <c r="E21" s="175">
        <v>8000</v>
      </c>
    </row>
    <row r="22" spans="1:5" ht="27" customHeight="1" thickTop="1">
      <c r="A22" s="27"/>
      <c r="B22" s="176"/>
      <c r="C22" s="176"/>
      <c r="D22" s="96" t="s">
        <v>385</v>
      </c>
      <c r="E22" s="42">
        <v>488</v>
      </c>
    </row>
    <row r="23" spans="4:5" ht="12.75">
      <c r="D23" s="143" t="s">
        <v>207</v>
      </c>
      <c r="E23" s="178">
        <f>E17+E22</f>
        <v>1434538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7.00390625" style="0" customWidth="1"/>
    <col min="4" max="4" width="40.00390625" style="0" customWidth="1"/>
    <col min="5" max="5" width="13.875" style="0" customWidth="1"/>
  </cols>
  <sheetData>
    <row r="1" spans="1:5" ht="52.5" customHeight="1">
      <c r="A1" s="757" t="s">
        <v>80</v>
      </c>
      <c r="B1" s="757"/>
      <c r="C1" s="757"/>
      <c r="D1" s="757"/>
      <c r="E1" s="757"/>
    </row>
    <row r="3" spans="1:5" ht="55.5" customHeight="1" thickBot="1">
      <c r="A3" s="761" t="s">
        <v>371</v>
      </c>
      <c r="B3" s="761"/>
      <c r="C3" s="761"/>
      <c r="D3" s="761"/>
      <c r="E3" s="761"/>
    </row>
    <row r="4" spans="1:5" ht="32.25" customHeight="1" thickBot="1">
      <c r="A4" s="263" t="s">
        <v>187</v>
      </c>
      <c r="B4" s="264" t="s">
        <v>188</v>
      </c>
      <c r="C4" s="264" t="s">
        <v>262</v>
      </c>
      <c r="D4" s="265" t="s">
        <v>189</v>
      </c>
      <c r="E4" s="262" t="s">
        <v>372</v>
      </c>
    </row>
    <row r="5" spans="1:5" ht="18" customHeight="1" thickBot="1">
      <c r="A5" s="161">
        <v>750</v>
      </c>
      <c r="B5" s="162"/>
      <c r="C5" s="162"/>
      <c r="D5" s="163" t="s">
        <v>373</v>
      </c>
      <c r="E5" s="164">
        <f>SUM(E6)</f>
        <v>60400</v>
      </c>
    </row>
    <row r="6" spans="1:5" ht="16.5" customHeight="1">
      <c r="A6" s="260"/>
      <c r="B6" s="260">
        <v>75011</v>
      </c>
      <c r="C6" s="260"/>
      <c r="D6" s="261" t="s">
        <v>242</v>
      </c>
      <c r="E6" s="261">
        <f>SUM(E7:E8)</f>
        <v>60400</v>
      </c>
    </row>
    <row r="7" spans="1:5" ht="39" customHeight="1">
      <c r="A7" s="144"/>
      <c r="B7" s="144"/>
      <c r="C7" s="144">
        <v>2350</v>
      </c>
      <c r="D7" s="165" t="s">
        <v>374</v>
      </c>
      <c r="E7" s="147">
        <v>60000</v>
      </c>
    </row>
    <row r="8" spans="1:5" ht="49.5" customHeight="1" thickBot="1">
      <c r="A8" s="146"/>
      <c r="B8" s="146"/>
      <c r="C8" s="254">
        <v>2350</v>
      </c>
      <c r="D8" s="256" t="s">
        <v>375</v>
      </c>
      <c r="E8" s="146">
        <v>400</v>
      </c>
    </row>
    <row r="9" spans="1:5" ht="20.25" customHeight="1" thickBot="1">
      <c r="A9" s="154">
        <v>852</v>
      </c>
      <c r="B9" s="155"/>
      <c r="C9" s="155"/>
      <c r="D9" s="155" t="s">
        <v>397</v>
      </c>
      <c r="E9" s="156">
        <f>SUM(E10+E12)</f>
        <v>36700</v>
      </c>
    </row>
    <row r="10" spans="1:5" ht="19.5" customHeight="1">
      <c r="A10" s="257"/>
      <c r="B10" s="257">
        <v>85203</v>
      </c>
      <c r="C10" s="257"/>
      <c r="D10" s="258" t="s">
        <v>340</v>
      </c>
      <c r="E10" s="259">
        <f>SUM(E11)</f>
        <v>6000</v>
      </c>
    </row>
    <row r="11" spans="1:9" ht="36">
      <c r="A11" s="104"/>
      <c r="B11" s="104"/>
      <c r="C11" s="139">
        <v>2350</v>
      </c>
      <c r="D11" s="516" t="s">
        <v>398</v>
      </c>
      <c r="E11" s="142">
        <v>6000</v>
      </c>
      <c r="I11" t="s">
        <v>197</v>
      </c>
    </row>
    <row r="12" spans="1:5" ht="36">
      <c r="A12" s="104"/>
      <c r="B12" s="153">
        <v>85212</v>
      </c>
      <c r="C12" s="153"/>
      <c r="D12" s="517" t="s">
        <v>389</v>
      </c>
      <c r="E12" s="285">
        <f>SUM(E13)</f>
        <v>30700</v>
      </c>
    </row>
    <row r="13" spans="1:5" ht="36">
      <c r="A13" s="104"/>
      <c r="B13" s="104"/>
      <c r="C13" s="139">
        <v>2350</v>
      </c>
      <c r="D13" s="516" t="s">
        <v>398</v>
      </c>
      <c r="E13" s="142">
        <v>30700</v>
      </c>
    </row>
    <row r="14" spans="4:5" ht="21.75" customHeight="1" thickBot="1">
      <c r="D14" s="514" t="s">
        <v>265</v>
      </c>
      <c r="E14" s="515">
        <f>SUM(E5+E9)</f>
        <v>97100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3.125" style="0" customWidth="1"/>
    <col min="2" max="2" width="6.625" style="0" customWidth="1"/>
    <col min="4" max="4" width="45.125" style="0" customWidth="1"/>
    <col min="5" max="5" width="11.625" style="0" customWidth="1"/>
  </cols>
  <sheetData>
    <row r="1" spans="1:4" ht="55.5" customHeight="1">
      <c r="A1" s="757" t="s">
        <v>81</v>
      </c>
      <c r="B1" s="760"/>
      <c r="C1" s="760"/>
      <c r="D1" s="760"/>
    </row>
    <row r="3" spans="1:5" ht="12.75">
      <c r="A3" s="763" t="s">
        <v>164</v>
      </c>
      <c r="B3" s="763"/>
      <c r="C3" s="763"/>
      <c r="D3" s="763"/>
      <c r="E3" s="763"/>
    </row>
    <row r="5" spans="1:5" ht="16.5" customHeight="1" thickBot="1">
      <c r="A5" s="182" t="s">
        <v>362</v>
      </c>
      <c r="B5" s="182" t="s">
        <v>209</v>
      </c>
      <c r="C5" s="182" t="s">
        <v>363</v>
      </c>
      <c r="D5" s="182" t="s">
        <v>189</v>
      </c>
      <c r="E5" s="182" t="s">
        <v>361</v>
      </c>
    </row>
    <row r="6" spans="1:5" ht="16.5" customHeight="1" thickBot="1" thickTop="1">
      <c r="A6" s="689">
        <v>1</v>
      </c>
      <c r="B6" s="674"/>
      <c r="C6" s="674"/>
      <c r="D6" s="674" t="s">
        <v>401</v>
      </c>
      <c r="E6" s="675">
        <f>SUM(E7:E9)</f>
        <v>2133550</v>
      </c>
    </row>
    <row r="7" spans="1:5" ht="16.5" customHeight="1">
      <c r="A7" s="475"/>
      <c r="B7" s="673">
        <v>921</v>
      </c>
      <c r="C7" s="673">
        <v>92109</v>
      </c>
      <c r="D7" s="176" t="s">
        <v>364</v>
      </c>
      <c r="E7" s="123">
        <v>1318550</v>
      </c>
    </row>
    <row r="8" spans="1:5" ht="16.5" customHeight="1">
      <c r="A8" s="102"/>
      <c r="B8" s="158">
        <v>921</v>
      </c>
      <c r="C8" s="158">
        <v>92116</v>
      </c>
      <c r="D8" s="24" t="s">
        <v>365</v>
      </c>
      <c r="E8" s="128">
        <v>470000</v>
      </c>
    </row>
    <row r="9" spans="1:5" ht="16.5" customHeight="1">
      <c r="A9" s="102"/>
      <c r="B9" s="158">
        <v>921</v>
      </c>
      <c r="C9" s="158">
        <v>92118</v>
      </c>
      <c r="D9" s="24" t="s">
        <v>366</v>
      </c>
      <c r="E9" s="128">
        <v>345000</v>
      </c>
    </row>
    <row r="10" spans="1:5" ht="16.5" customHeight="1" thickBot="1">
      <c r="A10" s="690">
        <v>2</v>
      </c>
      <c r="B10" s="676"/>
      <c r="C10" s="676"/>
      <c r="D10" s="676" t="s">
        <v>400</v>
      </c>
      <c r="E10" s="677">
        <f>SUM(E11:E13)</f>
        <v>783138</v>
      </c>
    </row>
    <row r="11" spans="1:5" ht="16.5" customHeight="1">
      <c r="A11" s="475"/>
      <c r="B11" s="673">
        <v>801</v>
      </c>
      <c r="C11" s="673">
        <v>80101</v>
      </c>
      <c r="D11" s="176" t="s">
        <v>220</v>
      </c>
      <c r="E11" s="123">
        <v>445109</v>
      </c>
    </row>
    <row r="12" spans="1:5" ht="16.5" customHeight="1">
      <c r="A12" s="102"/>
      <c r="B12" s="104"/>
      <c r="C12" s="158">
        <v>80103</v>
      </c>
      <c r="D12" s="24" t="s">
        <v>336</v>
      </c>
      <c r="E12" s="128">
        <v>98532</v>
      </c>
    </row>
    <row r="13" spans="1:5" ht="16.5" customHeight="1">
      <c r="A13" s="102"/>
      <c r="B13" s="104"/>
      <c r="C13" s="158">
        <v>80110</v>
      </c>
      <c r="D13" s="24" t="s">
        <v>193</v>
      </c>
      <c r="E13" s="128">
        <v>239497</v>
      </c>
    </row>
    <row r="14" spans="1:5" ht="16.5" customHeight="1" thickBot="1">
      <c r="A14" s="690">
        <v>3</v>
      </c>
      <c r="B14" s="676"/>
      <c r="C14" s="676"/>
      <c r="D14" s="676" t="s">
        <v>399</v>
      </c>
      <c r="E14" s="677">
        <f>SUM(E15)</f>
        <v>340000</v>
      </c>
    </row>
    <row r="15" spans="1:5" ht="16.5" customHeight="1" thickBot="1">
      <c r="A15" s="679"/>
      <c r="B15" s="680">
        <v>926</v>
      </c>
      <c r="C15" s="681">
        <v>92695</v>
      </c>
      <c r="D15" s="682" t="s">
        <v>367</v>
      </c>
      <c r="E15" s="683">
        <v>340000</v>
      </c>
    </row>
    <row r="16" spans="4:5" ht="18" customHeight="1">
      <c r="D16" s="159" t="s">
        <v>332</v>
      </c>
      <c r="E16" s="160">
        <f>SUM(E6+E10+E14)</f>
        <v>3256688</v>
      </c>
    </row>
    <row r="17" ht="12.75">
      <c r="E17" s="157"/>
    </row>
    <row r="18" spans="1:5" ht="44.25" customHeight="1">
      <c r="A18" s="762" t="s">
        <v>414</v>
      </c>
      <c r="B18" s="762"/>
      <c r="C18" s="762"/>
      <c r="D18" s="762"/>
      <c r="E18" s="762"/>
    </row>
    <row r="19" spans="1:5" ht="17.25" customHeight="1" thickBot="1">
      <c r="A19" s="672" t="s">
        <v>362</v>
      </c>
      <c r="B19" s="672" t="s">
        <v>209</v>
      </c>
      <c r="C19" s="672" t="s">
        <v>363</v>
      </c>
      <c r="D19" s="672" t="s">
        <v>189</v>
      </c>
      <c r="E19" s="672" t="s">
        <v>361</v>
      </c>
    </row>
    <row r="20" spans="1:5" ht="17.25" customHeight="1" thickTop="1">
      <c r="A20" s="691">
        <v>1</v>
      </c>
      <c r="B20" s="692">
        <v>754</v>
      </c>
      <c r="C20" s="692">
        <v>75412</v>
      </c>
      <c r="D20" s="693" t="s">
        <v>166</v>
      </c>
      <c r="E20" s="694">
        <v>104000</v>
      </c>
    </row>
    <row r="21" spans="1:5" ht="17.25" customHeight="1">
      <c r="A21" s="242">
        <v>2</v>
      </c>
      <c r="B21" s="678">
        <v>851</v>
      </c>
      <c r="C21" s="678">
        <v>85153</v>
      </c>
      <c r="D21" s="176" t="s">
        <v>402</v>
      </c>
      <c r="E21" s="42">
        <v>4700</v>
      </c>
    </row>
    <row r="22" spans="1:5" ht="18.75" customHeight="1">
      <c r="A22" s="101">
        <v>3</v>
      </c>
      <c r="B22" s="537">
        <v>851</v>
      </c>
      <c r="C22" s="537">
        <v>85154</v>
      </c>
      <c r="D22" s="686" t="s">
        <v>206</v>
      </c>
      <c r="E22" s="128">
        <v>285440</v>
      </c>
    </row>
    <row r="23" spans="1:5" ht="26.25" customHeight="1">
      <c r="A23" s="101">
        <v>4</v>
      </c>
      <c r="B23" s="537">
        <v>852</v>
      </c>
      <c r="C23" s="537">
        <v>85203</v>
      </c>
      <c r="D23" s="687" t="s">
        <v>165</v>
      </c>
      <c r="E23" s="128">
        <v>370020</v>
      </c>
    </row>
    <row r="24" spans="1:5" ht="24">
      <c r="A24" s="101">
        <v>5</v>
      </c>
      <c r="B24" s="537">
        <v>853</v>
      </c>
      <c r="C24" s="537">
        <v>85311</v>
      </c>
      <c r="D24" s="687" t="s">
        <v>368</v>
      </c>
      <c r="E24" s="128">
        <v>32000</v>
      </c>
    </row>
    <row r="25" spans="1:5" ht="18.75" customHeight="1" thickBot="1">
      <c r="A25" s="690">
        <v>6</v>
      </c>
      <c r="B25" s="685">
        <v>926</v>
      </c>
      <c r="C25" s="685">
        <v>92605</v>
      </c>
      <c r="D25" s="688" t="s">
        <v>369</v>
      </c>
      <c r="E25" s="684">
        <v>237610</v>
      </c>
    </row>
    <row r="26" spans="1:5" ht="18" customHeight="1">
      <c r="A26" s="145"/>
      <c r="B26" s="145"/>
      <c r="C26" s="145"/>
      <c r="D26" s="257" t="s">
        <v>265</v>
      </c>
      <c r="E26" s="196">
        <f>SUM(E20:E25)</f>
        <v>1033770</v>
      </c>
    </row>
    <row r="27" ht="12.75">
      <c r="E27" s="157"/>
    </row>
    <row r="28" spans="4:5" ht="12.75">
      <c r="D28" t="s">
        <v>370</v>
      </c>
      <c r="E28" s="160">
        <f>SUM(E16+E26)</f>
        <v>4290458</v>
      </c>
    </row>
  </sheetData>
  <sheetProtection/>
  <mergeCells count="3">
    <mergeCell ref="A1:D1"/>
    <mergeCell ref="A18:E18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.00390625" style="0" customWidth="1"/>
    <col min="2" max="2" width="42.875" style="0" customWidth="1"/>
    <col min="3" max="3" width="13.00390625" style="0" customWidth="1"/>
    <col min="4" max="4" width="17.00390625" style="0" customWidth="1"/>
  </cols>
  <sheetData>
    <row r="1" spans="1:4" ht="55.5" customHeight="1">
      <c r="A1" s="752" t="s">
        <v>82</v>
      </c>
      <c r="B1" s="753"/>
      <c r="C1" s="332"/>
      <c r="D1" s="332"/>
    </row>
    <row r="2" spans="1:4" ht="15.75">
      <c r="A2" s="754" t="s">
        <v>160</v>
      </c>
      <c r="B2" s="754"/>
      <c r="C2" s="754"/>
      <c r="D2" s="754"/>
    </row>
    <row r="3" spans="1:4" ht="18" customHeight="1">
      <c r="A3" s="333"/>
      <c r="B3" s="333"/>
      <c r="C3" s="333"/>
      <c r="D3" s="334" t="s">
        <v>424</v>
      </c>
    </row>
    <row r="4" spans="1:4" ht="12.75">
      <c r="A4" s="755" t="s">
        <v>355</v>
      </c>
      <c r="B4" s="755" t="s">
        <v>425</v>
      </c>
      <c r="C4" s="756" t="s">
        <v>426</v>
      </c>
      <c r="D4" s="756" t="s">
        <v>4</v>
      </c>
    </row>
    <row r="5" spans="1:4" ht="12.75">
      <c r="A5" s="755"/>
      <c r="B5" s="755"/>
      <c r="C5" s="755"/>
      <c r="D5" s="756"/>
    </row>
    <row r="6" spans="1:4" ht="12.75">
      <c r="A6" s="755"/>
      <c r="B6" s="755"/>
      <c r="C6" s="755"/>
      <c r="D6" s="756"/>
    </row>
    <row r="7" spans="1:4" ht="17.25" customHeight="1">
      <c r="A7" s="362">
        <v>1</v>
      </c>
      <c r="B7" s="362">
        <v>2</v>
      </c>
      <c r="C7" s="362">
        <v>3</v>
      </c>
      <c r="D7" s="362">
        <v>4</v>
      </c>
    </row>
    <row r="8" spans="1:4" ht="14.25" customHeight="1">
      <c r="A8" s="764" t="s">
        <v>427</v>
      </c>
      <c r="B8" s="764"/>
      <c r="C8" s="335"/>
      <c r="D8" s="336">
        <f>SUM(D9:D16)</f>
        <v>27167066</v>
      </c>
    </row>
    <row r="9" spans="1:4" ht="21.75" customHeight="1">
      <c r="A9" s="337" t="s">
        <v>428</v>
      </c>
      <c r="B9" s="338" t="s">
        <v>429</v>
      </c>
      <c r="C9" s="337" t="s">
        <v>430</v>
      </c>
      <c r="D9" s="339">
        <v>9046086</v>
      </c>
    </row>
    <row r="10" spans="1:4" ht="22.5" customHeight="1">
      <c r="A10" s="340" t="s">
        <v>431</v>
      </c>
      <c r="B10" s="341" t="s">
        <v>432</v>
      </c>
      <c r="C10" s="340" t="s">
        <v>430</v>
      </c>
      <c r="D10" s="342">
        <v>0</v>
      </c>
    </row>
    <row r="11" spans="1:4" ht="32.25" customHeight="1">
      <c r="A11" s="340" t="s">
        <v>433</v>
      </c>
      <c r="B11" s="343" t="s">
        <v>434</v>
      </c>
      <c r="C11" s="340" t="s">
        <v>435</v>
      </c>
      <c r="D11" s="342">
        <v>18120980</v>
      </c>
    </row>
    <row r="12" spans="1:4" ht="25.5" customHeight="1">
      <c r="A12" s="340" t="s">
        <v>436</v>
      </c>
      <c r="B12" s="341" t="s">
        <v>437</v>
      </c>
      <c r="C12" s="340" t="s">
        <v>438</v>
      </c>
      <c r="D12" s="342">
        <v>0</v>
      </c>
    </row>
    <row r="13" spans="1:4" ht="22.5" customHeight="1">
      <c r="A13" s="340" t="s">
        <v>439</v>
      </c>
      <c r="B13" s="341" t="s">
        <v>440</v>
      </c>
      <c r="C13" s="340" t="s">
        <v>441</v>
      </c>
      <c r="D13" s="342">
        <v>0</v>
      </c>
    </row>
    <row r="14" spans="1:5" ht="24.75" customHeight="1">
      <c r="A14" s="340" t="s">
        <v>442</v>
      </c>
      <c r="B14" s="341" t="s">
        <v>443</v>
      </c>
      <c r="C14" s="340" t="s">
        <v>444</v>
      </c>
      <c r="D14" s="342">
        <v>0</v>
      </c>
      <c r="E14" t="s">
        <v>197</v>
      </c>
    </row>
    <row r="15" spans="1:4" ht="22.5" customHeight="1">
      <c r="A15" s="340" t="s">
        <v>445</v>
      </c>
      <c r="B15" s="341" t="s">
        <v>446</v>
      </c>
      <c r="C15" s="340" t="s">
        <v>447</v>
      </c>
      <c r="D15" s="342">
        <v>0</v>
      </c>
    </row>
    <row r="16" spans="1:4" ht="26.25" customHeight="1">
      <c r="A16" s="340" t="s">
        <v>448</v>
      </c>
      <c r="B16" s="344" t="s">
        <v>449</v>
      </c>
      <c r="C16" s="345" t="s">
        <v>450</v>
      </c>
      <c r="D16" s="346"/>
    </row>
    <row r="17" spans="1:4" ht="12.75">
      <c r="A17" s="764" t="s">
        <v>451</v>
      </c>
      <c r="B17" s="764"/>
      <c r="C17" s="335"/>
      <c r="D17" s="336">
        <f>SUM(D18:D24)</f>
        <v>1377518</v>
      </c>
    </row>
    <row r="18" spans="1:4" ht="16.5" customHeight="1">
      <c r="A18" s="337" t="s">
        <v>428</v>
      </c>
      <c r="B18" s="338" t="s">
        <v>452</v>
      </c>
      <c r="C18" s="337" t="s">
        <v>453</v>
      </c>
      <c r="D18" s="339">
        <v>600000</v>
      </c>
    </row>
    <row r="19" spans="1:4" ht="16.5" customHeight="1">
      <c r="A19" s="340" t="s">
        <v>431</v>
      </c>
      <c r="B19" s="341" t="s">
        <v>454</v>
      </c>
      <c r="C19" s="340" t="s">
        <v>453</v>
      </c>
      <c r="D19" s="342">
        <v>412943</v>
      </c>
    </row>
    <row r="20" spans="1:4" ht="38.25">
      <c r="A20" s="340" t="s">
        <v>433</v>
      </c>
      <c r="B20" s="343" t="s">
        <v>455</v>
      </c>
      <c r="C20" s="340" t="s">
        <v>456</v>
      </c>
      <c r="D20" s="342">
        <v>364575</v>
      </c>
    </row>
    <row r="21" spans="1:4" ht="15.75" customHeight="1">
      <c r="A21" s="340" t="s">
        <v>436</v>
      </c>
      <c r="B21" s="341" t="s">
        <v>457</v>
      </c>
      <c r="C21" s="340" t="s">
        <v>458</v>
      </c>
      <c r="D21" s="342">
        <v>0</v>
      </c>
    </row>
    <row r="22" spans="1:4" ht="16.5" customHeight="1">
      <c r="A22" s="340" t="s">
        <v>439</v>
      </c>
      <c r="B22" s="341" t="s">
        <v>459</v>
      </c>
      <c r="C22" s="340" t="s">
        <v>460</v>
      </c>
      <c r="D22" s="342">
        <v>0</v>
      </c>
    </row>
    <row r="23" spans="1:4" ht="17.25" customHeight="1">
      <c r="A23" s="340" t="s">
        <v>442</v>
      </c>
      <c r="B23" s="341" t="s">
        <v>461</v>
      </c>
      <c r="C23" s="340" t="s">
        <v>462</v>
      </c>
      <c r="D23" s="342">
        <v>0</v>
      </c>
    </row>
    <row r="24" spans="1:4" ht="17.25" customHeight="1">
      <c r="A24" s="345" t="s">
        <v>445</v>
      </c>
      <c r="B24" s="344" t="s">
        <v>463</v>
      </c>
      <c r="C24" s="345" t="s">
        <v>464</v>
      </c>
      <c r="D24" s="346">
        <v>0</v>
      </c>
    </row>
  </sheetData>
  <sheetProtection/>
  <mergeCells count="8">
    <mergeCell ref="A8:B8"/>
    <mergeCell ref="A17:B17"/>
    <mergeCell ref="A1:B1"/>
    <mergeCell ref="A2:D2"/>
    <mergeCell ref="A4:A6"/>
    <mergeCell ref="B4:B6"/>
    <mergeCell ref="C4:C6"/>
    <mergeCell ref="D4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5"/>
  <sheetViews>
    <sheetView workbookViewId="0" topLeftCell="A1">
      <selection activeCell="G122" sqref="G122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5.25390625" style="0" customWidth="1"/>
    <col min="4" max="4" width="4.375" style="0" customWidth="1"/>
    <col min="5" max="5" width="36.375" style="0" customWidth="1"/>
    <col min="6" max="6" width="11.375" style="0" customWidth="1"/>
    <col min="7" max="7" width="12.75390625" style="0" customWidth="1"/>
    <col min="8" max="8" width="11.25390625" style="0" customWidth="1"/>
    <col min="9" max="9" width="10.75390625" style="0" customWidth="1"/>
    <col min="10" max="10" width="11.125" style="0" customWidth="1"/>
    <col min="11" max="11" width="11.875" style="0" customWidth="1"/>
    <col min="12" max="12" width="16.75390625" style="0" customWidth="1"/>
  </cols>
  <sheetData>
    <row r="1" spans="1:12" ht="51.75" customHeight="1">
      <c r="A1" s="768" t="s">
        <v>83</v>
      </c>
      <c r="B1" s="768"/>
      <c r="C1" s="768"/>
      <c r="D1" s="768"/>
      <c r="E1" s="768"/>
      <c r="F1" s="333"/>
      <c r="G1" s="333"/>
      <c r="H1" s="333"/>
      <c r="I1" s="333"/>
      <c r="J1" s="333"/>
      <c r="K1" s="333"/>
      <c r="L1" s="333" t="s">
        <v>197</v>
      </c>
    </row>
    <row r="2" spans="1:12" ht="17.25" customHeight="1">
      <c r="A2" s="769" t="s">
        <v>28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</row>
    <row r="3" spans="1:12" ht="14.25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47" t="s">
        <v>424</v>
      </c>
    </row>
    <row r="4" spans="1:12" ht="12.75" customHeight="1">
      <c r="A4" s="770" t="s">
        <v>355</v>
      </c>
      <c r="B4" s="770" t="s">
        <v>479</v>
      </c>
      <c r="C4" s="770" t="s">
        <v>480</v>
      </c>
      <c r="D4" s="770" t="s">
        <v>481</v>
      </c>
      <c r="E4" s="771" t="s">
        <v>482</v>
      </c>
      <c r="F4" s="771" t="s">
        <v>483</v>
      </c>
      <c r="G4" s="771" t="s">
        <v>356</v>
      </c>
      <c r="H4" s="771"/>
      <c r="I4" s="771"/>
      <c r="J4" s="771"/>
      <c r="K4" s="771"/>
      <c r="L4" s="771" t="s">
        <v>484</v>
      </c>
    </row>
    <row r="5" spans="1:12" ht="12.75" customHeight="1">
      <c r="A5" s="770"/>
      <c r="B5" s="770"/>
      <c r="C5" s="770"/>
      <c r="D5" s="770"/>
      <c r="E5" s="771"/>
      <c r="F5" s="771"/>
      <c r="G5" s="771" t="s">
        <v>29</v>
      </c>
      <c r="H5" s="771" t="s">
        <v>485</v>
      </c>
      <c r="I5" s="771"/>
      <c r="J5" s="771"/>
      <c r="K5" s="771"/>
      <c r="L5" s="771"/>
    </row>
    <row r="6" spans="1:12" ht="12.75" customHeight="1">
      <c r="A6" s="770"/>
      <c r="B6" s="770"/>
      <c r="C6" s="770"/>
      <c r="D6" s="770"/>
      <c r="E6" s="771"/>
      <c r="F6" s="771"/>
      <c r="G6" s="771"/>
      <c r="H6" s="771" t="s">
        <v>486</v>
      </c>
      <c r="I6" s="771" t="s">
        <v>487</v>
      </c>
      <c r="J6" s="771" t="s">
        <v>488</v>
      </c>
      <c r="K6" s="771" t="s">
        <v>489</v>
      </c>
      <c r="L6" s="771"/>
    </row>
    <row r="7" spans="1:12" ht="12.75">
      <c r="A7" s="770"/>
      <c r="B7" s="770"/>
      <c r="C7" s="770"/>
      <c r="D7" s="770"/>
      <c r="E7" s="771"/>
      <c r="F7" s="771"/>
      <c r="G7" s="771"/>
      <c r="H7" s="771"/>
      <c r="I7" s="771"/>
      <c r="J7" s="771"/>
      <c r="K7" s="771"/>
      <c r="L7" s="771"/>
    </row>
    <row r="8" spans="1:12" ht="20.25" customHeight="1">
      <c r="A8" s="770"/>
      <c r="B8" s="770"/>
      <c r="C8" s="770"/>
      <c r="D8" s="770"/>
      <c r="E8" s="771"/>
      <c r="F8" s="771"/>
      <c r="G8" s="771"/>
      <c r="H8" s="771"/>
      <c r="I8" s="771"/>
      <c r="J8" s="771"/>
      <c r="K8" s="771"/>
      <c r="L8" s="771"/>
    </row>
    <row r="9" spans="1:12" ht="12.75">
      <c r="A9" s="695">
        <v>1</v>
      </c>
      <c r="B9" s="695">
        <v>2</v>
      </c>
      <c r="C9" s="695">
        <v>3</v>
      </c>
      <c r="D9" s="695">
        <v>4</v>
      </c>
      <c r="E9" s="695">
        <v>5</v>
      </c>
      <c r="F9" s="695">
        <v>6</v>
      </c>
      <c r="G9" s="695">
        <v>7</v>
      </c>
      <c r="H9" s="695">
        <v>8</v>
      </c>
      <c r="I9" s="695">
        <v>9</v>
      </c>
      <c r="J9" s="457">
        <v>10</v>
      </c>
      <c r="K9" s="457">
        <v>11</v>
      </c>
      <c r="L9" s="457">
        <v>12</v>
      </c>
    </row>
    <row r="10" spans="1:12" ht="13.5" customHeight="1" thickBot="1">
      <c r="A10" s="772" t="s">
        <v>490</v>
      </c>
      <c r="B10" s="773"/>
      <c r="C10" s="773"/>
      <c r="D10" s="773"/>
      <c r="E10" s="773"/>
      <c r="F10" s="773"/>
      <c r="G10" s="773"/>
      <c r="H10" s="773"/>
      <c r="I10" s="774"/>
      <c r="J10" s="354"/>
      <c r="K10" s="354"/>
      <c r="L10" s="354"/>
    </row>
    <row r="11" spans="1:12" ht="13.5" thickBot="1">
      <c r="A11" s="356" t="s">
        <v>428</v>
      </c>
      <c r="B11" s="356">
        <v>600</v>
      </c>
      <c r="C11" s="356"/>
      <c r="D11" s="356"/>
      <c r="E11" s="356" t="s">
        <v>491</v>
      </c>
      <c r="F11" s="357">
        <f aca="true" t="shared" si="0" ref="F11:K11">SUM(F12)</f>
        <v>92926414</v>
      </c>
      <c r="G11" s="357">
        <f t="shared" si="0"/>
        <v>8970000</v>
      </c>
      <c r="H11" s="357">
        <f t="shared" si="0"/>
        <v>2720000</v>
      </c>
      <c r="I11" s="357">
        <f t="shared" si="0"/>
        <v>6250000</v>
      </c>
      <c r="J11" s="357">
        <f t="shared" si="0"/>
        <v>0</v>
      </c>
      <c r="K11" s="358">
        <f t="shared" si="0"/>
        <v>0</v>
      </c>
      <c r="L11" s="359"/>
    </row>
    <row r="12" spans="1:12" ht="12.75">
      <c r="A12" s="360"/>
      <c r="B12" s="360"/>
      <c r="C12" s="360">
        <v>60016</v>
      </c>
      <c r="D12" s="360"/>
      <c r="E12" s="360" t="s">
        <v>492</v>
      </c>
      <c r="F12" s="361">
        <f aca="true" t="shared" si="1" ref="F12:K12">SUM(F13+F14+F23+F28+F29+F30)</f>
        <v>92926414</v>
      </c>
      <c r="G12" s="361">
        <f t="shared" si="1"/>
        <v>8970000</v>
      </c>
      <c r="H12" s="361">
        <f t="shared" si="1"/>
        <v>2720000</v>
      </c>
      <c r="I12" s="361">
        <f t="shared" si="1"/>
        <v>6250000</v>
      </c>
      <c r="J12" s="361">
        <f t="shared" si="1"/>
        <v>0</v>
      </c>
      <c r="K12" s="361">
        <f t="shared" si="1"/>
        <v>0</v>
      </c>
      <c r="L12" s="362"/>
    </row>
    <row r="13" spans="1:12" ht="45">
      <c r="A13" s="360"/>
      <c r="B13" s="360"/>
      <c r="C13" s="360"/>
      <c r="D13" s="717">
        <v>6050</v>
      </c>
      <c r="E13" s="103" t="s">
        <v>284</v>
      </c>
      <c r="F13" s="718">
        <v>8540414</v>
      </c>
      <c r="G13" s="718">
        <f>SUM(H13:K13)</f>
        <v>2000000</v>
      </c>
      <c r="H13" s="718">
        <v>2000000</v>
      </c>
      <c r="I13" s="718"/>
      <c r="J13" s="718"/>
      <c r="K13" s="718"/>
      <c r="L13" s="599" t="s">
        <v>495</v>
      </c>
    </row>
    <row r="14" spans="1:12" ht="22.5">
      <c r="A14" s="363"/>
      <c r="B14" s="363"/>
      <c r="C14" s="363"/>
      <c r="D14" s="364">
        <v>6050</v>
      </c>
      <c r="E14" s="364" t="s">
        <v>291</v>
      </c>
      <c r="F14" s="365">
        <v>63849000</v>
      </c>
      <c r="G14" s="365">
        <f>SUM(H14:K14)</f>
        <v>4075000</v>
      </c>
      <c r="H14" s="365">
        <f>SUM(H16:H22)</f>
        <v>175000</v>
      </c>
      <c r="I14" s="365">
        <f>SUM(I16:I22)</f>
        <v>3900000</v>
      </c>
      <c r="J14" s="366"/>
      <c r="K14" s="366"/>
      <c r="L14" s="599" t="s">
        <v>495</v>
      </c>
    </row>
    <row r="15" spans="1:12" ht="12.75">
      <c r="A15" s="363"/>
      <c r="B15" s="363"/>
      <c r="C15" s="363"/>
      <c r="D15" s="364"/>
      <c r="E15" s="364" t="s">
        <v>251</v>
      </c>
      <c r="F15" s="367"/>
      <c r="G15" s="365"/>
      <c r="H15" s="365"/>
      <c r="I15" s="365"/>
      <c r="J15" s="366"/>
      <c r="K15" s="366"/>
      <c r="L15" s="362"/>
    </row>
    <row r="16" spans="1:12" ht="39">
      <c r="A16" s="363"/>
      <c r="B16" s="363"/>
      <c r="C16" s="363"/>
      <c r="D16" s="363"/>
      <c r="E16" s="580" t="s">
        <v>292</v>
      </c>
      <c r="F16" s="365">
        <v>4707000</v>
      </c>
      <c r="G16" s="365">
        <f>SUM(H16:K16)</f>
        <v>19000</v>
      </c>
      <c r="H16" s="365">
        <v>19000</v>
      </c>
      <c r="I16" s="365"/>
      <c r="J16" s="366" t="s">
        <v>197</v>
      </c>
      <c r="K16" s="366"/>
      <c r="L16" s="368"/>
    </row>
    <row r="17" spans="1:12" ht="27" customHeight="1">
      <c r="A17" s="363"/>
      <c r="B17" s="363"/>
      <c r="C17" s="363"/>
      <c r="D17" s="363"/>
      <c r="E17" s="580" t="s">
        <v>30</v>
      </c>
      <c r="F17" s="365">
        <v>1516000</v>
      </c>
      <c r="G17" s="365">
        <f>SUM(H17:K17)</f>
        <v>516000</v>
      </c>
      <c r="H17" s="365">
        <v>16000</v>
      </c>
      <c r="I17" s="365">
        <v>500000</v>
      </c>
      <c r="J17" s="366"/>
      <c r="K17" s="366"/>
      <c r="L17" s="368"/>
    </row>
    <row r="18" spans="1:12" ht="19.5">
      <c r="A18" s="363"/>
      <c r="B18" s="363"/>
      <c r="C18" s="363"/>
      <c r="D18" s="363"/>
      <c r="E18" s="456" t="s">
        <v>31</v>
      </c>
      <c r="F18" s="365">
        <v>4410000</v>
      </c>
      <c r="G18" s="365">
        <f aca="true" t="shared" si="2" ref="G18:G33">SUM(H18:K18)</f>
        <v>240000</v>
      </c>
      <c r="H18" s="365">
        <v>20000</v>
      </c>
      <c r="I18" s="365">
        <v>220000</v>
      </c>
      <c r="J18" s="366"/>
      <c r="K18" s="366"/>
      <c r="L18" s="368"/>
    </row>
    <row r="19" spans="1:12" ht="19.5">
      <c r="A19" s="363"/>
      <c r="B19" s="363"/>
      <c r="C19" s="363"/>
      <c r="D19" s="363"/>
      <c r="E19" s="580" t="s">
        <v>32</v>
      </c>
      <c r="F19" s="365">
        <v>3000000</v>
      </c>
      <c r="G19" s="365">
        <f t="shared" si="2"/>
        <v>100000</v>
      </c>
      <c r="H19" s="365">
        <v>20000</v>
      </c>
      <c r="I19" s="365">
        <v>80000</v>
      </c>
      <c r="J19" s="366"/>
      <c r="K19" s="366"/>
      <c r="L19" s="368"/>
    </row>
    <row r="20" spans="1:12" ht="29.25">
      <c r="A20" s="363"/>
      <c r="B20" s="363"/>
      <c r="C20" s="363"/>
      <c r="D20" s="363"/>
      <c r="E20" s="580" t="s">
        <v>33</v>
      </c>
      <c r="F20" s="365">
        <v>6000000</v>
      </c>
      <c r="G20" s="365">
        <f t="shared" si="2"/>
        <v>330000</v>
      </c>
      <c r="H20" s="365">
        <v>30000</v>
      </c>
      <c r="I20" s="365">
        <v>300000</v>
      </c>
      <c r="J20" s="366"/>
      <c r="K20" s="366"/>
      <c r="L20" s="368"/>
    </row>
    <row r="21" spans="1:12" ht="19.5">
      <c r="A21" s="363"/>
      <c r="B21" s="363"/>
      <c r="C21" s="363"/>
      <c r="D21" s="363"/>
      <c r="E21" s="580" t="s">
        <v>34</v>
      </c>
      <c r="F21" s="365">
        <v>1620000</v>
      </c>
      <c r="G21" s="365">
        <f t="shared" si="2"/>
        <v>120000</v>
      </c>
      <c r="H21" s="365">
        <v>20000</v>
      </c>
      <c r="I21" s="365">
        <v>100000</v>
      </c>
      <c r="J21" s="366"/>
      <c r="K21" s="366"/>
      <c r="L21" s="368"/>
    </row>
    <row r="22" spans="1:12" ht="39">
      <c r="A22" s="363"/>
      <c r="B22" s="363"/>
      <c r="C22" s="363"/>
      <c r="D22" s="363"/>
      <c r="E22" s="580" t="s">
        <v>277</v>
      </c>
      <c r="F22" s="365">
        <v>7550000</v>
      </c>
      <c r="G22" s="365">
        <f t="shared" si="2"/>
        <v>2750000</v>
      </c>
      <c r="H22" s="365">
        <v>50000</v>
      </c>
      <c r="I22" s="365">
        <v>2700000</v>
      </c>
      <c r="J22" s="366"/>
      <c r="K22" s="366"/>
      <c r="L22" s="368"/>
    </row>
    <row r="23" spans="1:12" ht="39">
      <c r="A23" s="363"/>
      <c r="B23" s="363"/>
      <c r="C23" s="363"/>
      <c r="D23" s="719">
        <v>6050</v>
      </c>
      <c r="E23" s="580" t="s">
        <v>213</v>
      </c>
      <c r="F23" s="365">
        <v>10757000</v>
      </c>
      <c r="G23" s="365">
        <f>SUM(H23:K23)</f>
        <v>2600000</v>
      </c>
      <c r="H23" s="365">
        <f>SUM(H24:H27)</f>
        <v>380000</v>
      </c>
      <c r="I23" s="365">
        <f>SUM(I24:I27)</f>
        <v>2220000</v>
      </c>
      <c r="J23" s="366"/>
      <c r="K23" s="366"/>
      <c r="L23" s="599" t="s">
        <v>495</v>
      </c>
    </row>
    <row r="24" spans="1:12" ht="12.75">
      <c r="A24" s="363"/>
      <c r="B24" s="363"/>
      <c r="C24" s="363"/>
      <c r="D24" s="363"/>
      <c r="E24" s="580" t="s">
        <v>278</v>
      </c>
      <c r="F24" s="365">
        <v>2800000</v>
      </c>
      <c r="G24" s="365">
        <f>SUM(H24:K24)</f>
        <v>1100000</v>
      </c>
      <c r="H24" s="365">
        <v>100000</v>
      </c>
      <c r="I24" s="365">
        <v>1000000</v>
      </c>
      <c r="J24" s="366"/>
      <c r="K24" s="366"/>
      <c r="L24" s="368"/>
    </row>
    <row r="25" spans="1:12" ht="12.75">
      <c r="A25" s="363"/>
      <c r="B25" s="363"/>
      <c r="C25" s="363"/>
      <c r="D25" s="363"/>
      <c r="E25" s="580" t="s">
        <v>279</v>
      </c>
      <c r="F25" s="365">
        <v>2600000</v>
      </c>
      <c r="G25" s="365">
        <f>SUM(H25:K25)</f>
        <v>1100000</v>
      </c>
      <c r="H25" s="365">
        <v>100000</v>
      </c>
      <c r="I25" s="365">
        <v>1000000</v>
      </c>
      <c r="J25" s="366"/>
      <c r="K25" s="366"/>
      <c r="L25" s="368"/>
    </row>
    <row r="26" spans="1:12" ht="12.75">
      <c r="A26" s="363"/>
      <c r="B26" s="363"/>
      <c r="C26" s="363"/>
      <c r="D26" s="363"/>
      <c r="E26" s="580" t="s">
        <v>281</v>
      </c>
      <c r="F26" s="365">
        <v>1112000</v>
      </c>
      <c r="G26" s="365">
        <f>SUM(H26:K26)</f>
        <v>250000</v>
      </c>
      <c r="H26" s="365">
        <v>30000</v>
      </c>
      <c r="I26" s="365">
        <v>220000</v>
      </c>
      <c r="J26" s="366"/>
      <c r="K26" s="366"/>
      <c r="L26" s="368"/>
    </row>
    <row r="27" spans="1:12" ht="39">
      <c r="A27" s="363"/>
      <c r="B27" s="363"/>
      <c r="C27" s="363"/>
      <c r="D27" s="363"/>
      <c r="E27" s="581" t="s">
        <v>283</v>
      </c>
      <c r="F27" s="365">
        <v>750000</v>
      </c>
      <c r="G27" s="365">
        <f>SUM(H27:K27)</f>
        <v>150000</v>
      </c>
      <c r="H27" s="365">
        <v>150000</v>
      </c>
      <c r="I27" s="365"/>
      <c r="J27" s="366"/>
      <c r="K27" s="366"/>
      <c r="L27" s="599" t="s">
        <v>495</v>
      </c>
    </row>
    <row r="28" spans="1:12" ht="27.75">
      <c r="A28" s="363"/>
      <c r="B28" s="363"/>
      <c r="C28" s="363"/>
      <c r="D28" s="364">
        <v>6050</v>
      </c>
      <c r="E28" s="461" t="s">
        <v>35</v>
      </c>
      <c r="F28" s="365">
        <v>3100000</v>
      </c>
      <c r="G28" s="365">
        <f t="shared" si="2"/>
        <v>155000</v>
      </c>
      <c r="H28" s="365">
        <v>25000</v>
      </c>
      <c r="I28" s="365">
        <v>130000</v>
      </c>
      <c r="J28" s="366"/>
      <c r="K28" s="366"/>
      <c r="L28" s="599" t="s">
        <v>495</v>
      </c>
    </row>
    <row r="29" spans="1:12" ht="18.75">
      <c r="A29" s="363"/>
      <c r="B29" s="363"/>
      <c r="C29" s="363"/>
      <c r="D29" s="364">
        <v>6050</v>
      </c>
      <c r="E29" s="461" t="s">
        <v>36</v>
      </c>
      <c r="F29" s="365">
        <v>4480000</v>
      </c>
      <c r="G29" s="365">
        <f t="shared" si="2"/>
        <v>80000</v>
      </c>
      <c r="H29" s="365">
        <v>80000</v>
      </c>
      <c r="I29" s="365"/>
      <c r="J29" s="366"/>
      <c r="K29" s="366"/>
      <c r="L29" s="599" t="s">
        <v>495</v>
      </c>
    </row>
    <row r="30" spans="1:12" ht="19.5" thickBot="1">
      <c r="A30" s="370"/>
      <c r="B30" s="370"/>
      <c r="C30" s="370"/>
      <c r="D30" s="371">
        <v>6050</v>
      </c>
      <c r="E30" s="465" t="s">
        <v>521</v>
      </c>
      <c r="F30" s="372">
        <v>2200000</v>
      </c>
      <c r="G30" s="372">
        <f t="shared" si="2"/>
        <v>60000</v>
      </c>
      <c r="H30" s="372">
        <v>60000</v>
      </c>
      <c r="I30" s="372"/>
      <c r="J30" s="373"/>
      <c r="K30" s="373"/>
      <c r="L30" s="599" t="s">
        <v>495</v>
      </c>
    </row>
    <row r="31" spans="1:12" ht="13.5" thickBot="1">
      <c r="A31" s="356" t="s">
        <v>431</v>
      </c>
      <c r="B31" s="356">
        <v>750</v>
      </c>
      <c r="C31" s="356"/>
      <c r="D31" s="388"/>
      <c r="E31" s="288" t="s">
        <v>373</v>
      </c>
      <c r="F31" s="357">
        <f>SUM(F32)</f>
        <v>42915</v>
      </c>
      <c r="G31" s="357">
        <f t="shared" si="2"/>
        <v>12840</v>
      </c>
      <c r="H31" s="357">
        <f>SUM(H32)</f>
        <v>12840</v>
      </c>
      <c r="I31" s="357"/>
      <c r="J31" s="582"/>
      <c r="K31" s="582"/>
      <c r="L31" s="583"/>
    </row>
    <row r="32" spans="1:12" ht="22.5">
      <c r="A32" s="360"/>
      <c r="B32" s="360"/>
      <c r="C32" s="360">
        <v>75023</v>
      </c>
      <c r="D32" s="392"/>
      <c r="E32" s="245" t="s">
        <v>217</v>
      </c>
      <c r="F32" s="361">
        <f>SUM(F33)</f>
        <v>42915</v>
      </c>
      <c r="G32" s="361">
        <f t="shared" si="2"/>
        <v>12840</v>
      </c>
      <c r="H32" s="361">
        <f>SUM(H33)</f>
        <v>12840</v>
      </c>
      <c r="I32" s="361"/>
      <c r="J32" s="584"/>
      <c r="K32" s="584"/>
      <c r="L32" s="585"/>
    </row>
    <row r="33" spans="1:12" ht="30" thickBot="1">
      <c r="A33" s="586"/>
      <c r="B33" s="587"/>
      <c r="C33" s="586"/>
      <c r="D33" s="588">
        <v>6050</v>
      </c>
      <c r="E33" s="461" t="s">
        <v>37</v>
      </c>
      <c r="F33" s="589">
        <v>42915</v>
      </c>
      <c r="G33" s="365">
        <f t="shared" si="2"/>
        <v>12840</v>
      </c>
      <c r="H33" s="589">
        <v>12840</v>
      </c>
      <c r="I33" s="589"/>
      <c r="J33" s="590"/>
      <c r="K33" s="590"/>
      <c r="L33" s="591" t="s">
        <v>38</v>
      </c>
    </row>
    <row r="34" spans="1:12" ht="13.5" thickBot="1">
      <c r="A34" s="356" t="s">
        <v>433</v>
      </c>
      <c r="B34" s="403">
        <v>801</v>
      </c>
      <c r="C34" s="278"/>
      <c r="D34" s="404"/>
      <c r="E34" s="288" t="s">
        <v>192</v>
      </c>
      <c r="F34" s="721">
        <f aca="true" t="shared" si="3" ref="F34:K35">SUM(F35)</f>
        <v>1840589.6</v>
      </c>
      <c r="G34" s="357">
        <f t="shared" si="3"/>
        <v>1770318</v>
      </c>
      <c r="H34" s="357">
        <f t="shared" si="3"/>
        <v>270318</v>
      </c>
      <c r="I34" s="357">
        <f t="shared" si="3"/>
        <v>1500000</v>
      </c>
      <c r="J34" s="357">
        <f t="shared" si="3"/>
        <v>0</v>
      </c>
      <c r="K34" s="357">
        <f t="shared" si="3"/>
        <v>0</v>
      </c>
      <c r="L34" s="592"/>
    </row>
    <row r="35" spans="1:12" ht="12.75">
      <c r="A35" s="391"/>
      <c r="B35" s="593"/>
      <c r="C35" s="430">
        <v>80101</v>
      </c>
      <c r="D35" s="431"/>
      <c r="E35" s="432" t="s">
        <v>412</v>
      </c>
      <c r="F35" s="722">
        <f t="shared" si="3"/>
        <v>1840589.6</v>
      </c>
      <c r="G35" s="594">
        <f t="shared" si="3"/>
        <v>1770318</v>
      </c>
      <c r="H35" s="594">
        <f t="shared" si="3"/>
        <v>270318</v>
      </c>
      <c r="I35" s="594">
        <f t="shared" si="3"/>
        <v>1500000</v>
      </c>
      <c r="J35" s="594">
        <f t="shared" si="3"/>
        <v>0</v>
      </c>
      <c r="K35" s="594">
        <f t="shared" si="3"/>
        <v>0</v>
      </c>
      <c r="L35" s="595"/>
    </row>
    <row r="36" spans="1:12" ht="34.5" thickBot="1">
      <c r="A36" s="586"/>
      <c r="B36" s="587"/>
      <c r="C36" s="586"/>
      <c r="D36" s="596">
        <v>6050</v>
      </c>
      <c r="E36" s="588" t="s">
        <v>159</v>
      </c>
      <c r="F36" s="720">
        <v>1840589.6</v>
      </c>
      <c r="G36" s="365">
        <f>SUM(H36:K36)</f>
        <v>1770318</v>
      </c>
      <c r="H36" s="589">
        <v>270318</v>
      </c>
      <c r="I36" s="589">
        <v>1500000</v>
      </c>
      <c r="J36" s="590"/>
      <c r="K36" s="590"/>
      <c r="L36" s="599" t="s">
        <v>495</v>
      </c>
    </row>
    <row r="37" spans="1:12" ht="23.25" thickBot="1">
      <c r="A37" s="597" t="s">
        <v>436</v>
      </c>
      <c r="B37" s="355">
        <v>900</v>
      </c>
      <c r="C37" s="356"/>
      <c r="D37" s="356"/>
      <c r="E37" s="375" t="s">
        <v>494</v>
      </c>
      <c r="F37" s="726">
        <f aca="true" t="shared" si="4" ref="F37:K37">SUM(F38+F51)</f>
        <v>232026596.33</v>
      </c>
      <c r="G37" s="726">
        <f t="shared" si="4"/>
        <v>16019796.530000001</v>
      </c>
      <c r="H37" s="726">
        <f t="shared" si="4"/>
        <v>3785816.5300000003</v>
      </c>
      <c r="I37" s="726">
        <f t="shared" si="4"/>
        <v>7510980</v>
      </c>
      <c r="J37" s="726">
        <f t="shared" si="4"/>
        <v>4723000</v>
      </c>
      <c r="K37" s="726">
        <f t="shared" si="4"/>
        <v>0</v>
      </c>
      <c r="L37" s="598"/>
    </row>
    <row r="38" spans="1:12" ht="12.75">
      <c r="A38" s="360"/>
      <c r="B38" s="360"/>
      <c r="C38" s="360">
        <v>90001</v>
      </c>
      <c r="D38" s="360"/>
      <c r="E38" s="376" t="s">
        <v>260</v>
      </c>
      <c r="F38" s="727">
        <f aca="true" t="shared" si="5" ref="F38:K38">SUM(F39+F44+F50)</f>
        <v>188747031.33</v>
      </c>
      <c r="G38" s="727">
        <f t="shared" si="5"/>
        <v>4352596.53</v>
      </c>
      <c r="H38" s="727">
        <f t="shared" si="5"/>
        <v>1841616.53</v>
      </c>
      <c r="I38" s="727">
        <f t="shared" si="5"/>
        <v>2510980</v>
      </c>
      <c r="J38" s="727">
        <f t="shared" si="5"/>
        <v>0</v>
      </c>
      <c r="K38" s="727">
        <f t="shared" si="5"/>
        <v>0</v>
      </c>
      <c r="L38" s="402"/>
    </row>
    <row r="39" spans="1:12" ht="18.75">
      <c r="A39" s="363"/>
      <c r="B39" s="363"/>
      <c r="C39" s="363"/>
      <c r="D39" s="364">
        <v>6050</v>
      </c>
      <c r="E39" s="461" t="s">
        <v>39</v>
      </c>
      <c r="F39" s="365">
        <f>SUM(F40:F43)</f>
        <v>77952315</v>
      </c>
      <c r="G39" s="365">
        <f>SUM(H39:K39)</f>
        <v>588000</v>
      </c>
      <c r="H39" s="365">
        <f>SUM(H40:H43)</f>
        <v>577020</v>
      </c>
      <c r="I39" s="365">
        <f>SUM(I40:I43)</f>
        <v>10980</v>
      </c>
      <c r="J39" s="365">
        <f>SUM(J40:J43)</f>
        <v>0</v>
      </c>
      <c r="K39" s="365">
        <f>SUM(K40:K43)</f>
        <v>0</v>
      </c>
      <c r="L39" s="599" t="s">
        <v>495</v>
      </c>
    </row>
    <row r="40" spans="1:12" ht="12.75">
      <c r="A40" s="363"/>
      <c r="B40" s="363"/>
      <c r="C40" s="363"/>
      <c r="D40" s="364"/>
      <c r="E40" s="456" t="s">
        <v>285</v>
      </c>
      <c r="F40" s="365">
        <v>66377864</v>
      </c>
      <c r="G40" s="365">
        <f>SUM(H40:K40)</f>
        <v>368000</v>
      </c>
      <c r="H40" s="365">
        <v>368000</v>
      </c>
      <c r="I40" s="365"/>
      <c r="J40" s="366"/>
      <c r="K40" s="366"/>
      <c r="L40" s="377"/>
    </row>
    <row r="41" spans="1:12" ht="22.5" customHeight="1">
      <c r="A41" s="363"/>
      <c r="B41" s="363"/>
      <c r="C41" s="363"/>
      <c r="D41" s="364"/>
      <c r="E41" s="455" t="s">
        <v>40</v>
      </c>
      <c r="F41" s="365">
        <v>2625197</v>
      </c>
      <c r="G41" s="365">
        <f>SUM(H41:K41)</f>
        <v>100000</v>
      </c>
      <c r="H41" s="365">
        <v>100000</v>
      </c>
      <c r="I41" s="365" t="s">
        <v>197</v>
      </c>
      <c r="J41" s="366"/>
      <c r="K41" s="366"/>
      <c r="L41" s="599"/>
    </row>
    <row r="42" spans="1:12" ht="12.75">
      <c r="A42" s="363"/>
      <c r="B42" s="363"/>
      <c r="C42" s="363"/>
      <c r="D42" s="364"/>
      <c r="E42" s="455" t="s">
        <v>41</v>
      </c>
      <c r="F42" s="365">
        <v>6899254</v>
      </c>
      <c r="G42" s="365">
        <f>SUM(H42:K42)</f>
        <v>100000</v>
      </c>
      <c r="H42" s="365">
        <v>100000</v>
      </c>
      <c r="I42" s="365"/>
      <c r="J42" s="366"/>
      <c r="K42" s="366"/>
      <c r="L42" s="599"/>
    </row>
    <row r="43" spans="1:12" ht="19.5">
      <c r="A43" s="363"/>
      <c r="B43" s="363"/>
      <c r="C43" s="363"/>
      <c r="D43" s="364"/>
      <c r="E43" s="456" t="s">
        <v>42</v>
      </c>
      <c r="F43" s="365">
        <v>2050000</v>
      </c>
      <c r="G43" s="365">
        <f>SUM(H43:K43)</f>
        <v>20000</v>
      </c>
      <c r="H43" s="365">
        <v>9020</v>
      </c>
      <c r="I43" s="365">
        <v>10980</v>
      </c>
      <c r="J43" s="366"/>
      <c r="K43" s="366"/>
      <c r="L43" s="599" t="s">
        <v>26</v>
      </c>
    </row>
    <row r="44" spans="1:12" ht="19.5" customHeight="1">
      <c r="A44" s="363"/>
      <c r="B44" s="363"/>
      <c r="C44" s="363"/>
      <c r="D44" s="364">
        <v>6050</v>
      </c>
      <c r="E44" s="461" t="s">
        <v>43</v>
      </c>
      <c r="F44" s="365">
        <v>97345963</v>
      </c>
      <c r="G44" s="365">
        <f>SUM(G45:G49)</f>
        <v>817000</v>
      </c>
      <c r="H44" s="365">
        <f>SUM(H45:H49)</f>
        <v>817000</v>
      </c>
      <c r="I44" s="365">
        <f>SUM(I45:I45)</f>
        <v>0</v>
      </c>
      <c r="J44" s="365">
        <f>SUM(J45:J45)</f>
        <v>0</v>
      </c>
      <c r="K44" s="365">
        <f>SUM(K45:K45)</f>
        <v>0</v>
      </c>
      <c r="L44" s="599" t="s">
        <v>495</v>
      </c>
    </row>
    <row r="45" spans="1:12" ht="12.75">
      <c r="A45" s="363"/>
      <c r="B45" s="379"/>
      <c r="C45" s="370"/>
      <c r="D45" s="371"/>
      <c r="E45" s="455" t="s">
        <v>44</v>
      </c>
      <c r="F45" s="372">
        <v>8105201</v>
      </c>
      <c r="G45" s="365">
        <f aca="true" t="shared" si="6" ref="G45:G50">SUM(H45:K45)</f>
        <v>56000</v>
      </c>
      <c r="H45" s="365">
        <v>56000</v>
      </c>
      <c r="I45" s="372"/>
      <c r="J45" s="373"/>
      <c r="K45" s="373"/>
      <c r="L45" s="600"/>
    </row>
    <row r="46" spans="1:12" ht="19.5">
      <c r="A46" s="363"/>
      <c r="B46" s="379"/>
      <c r="C46" s="370"/>
      <c r="D46" s="371"/>
      <c r="E46" s="456" t="s">
        <v>287</v>
      </c>
      <c r="F46" s="372">
        <v>24591104</v>
      </c>
      <c r="G46" s="365">
        <f t="shared" si="6"/>
        <v>206000</v>
      </c>
      <c r="H46" s="372">
        <v>206000</v>
      </c>
      <c r="I46" s="372"/>
      <c r="J46" s="373"/>
      <c r="K46" s="373"/>
      <c r="L46" s="599"/>
    </row>
    <row r="47" spans="1:12" ht="19.5">
      <c r="A47" s="363"/>
      <c r="B47" s="379"/>
      <c r="C47" s="370"/>
      <c r="D47" s="371"/>
      <c r="E47" s="466" t="s">
        <v>288</v>
      </c>
      <c r="F47" s="372">
        <v>24233581</v>
      </c>
      <c r="G47" s="365">
        <f t="shared" si="6"/>
        <v>203000</v>
      </c>
      <c r="H47" s="372">
        <v>203000</v>
      </c>
      <c r="I47" s="372"/>
      <c r="J47" s="373"/>
      <c r="K47" s="373"/>
      <c r="L47" s="599"/>
    </row>
    <row r="48" spans="1:12" ht="19.5">
      <c r="A48" s="363"/>
      <c r="B48" s="379"/>
      <c r="C48" s="370"/>
      <c r="D48" s="371"/>
      <c r="E48" s="466" t="s">
        <v>289</v>
      </c>
      <c r="F48" s="372">
        <v>27389431</v>
      </c>
      <c r="G48" s="365">
        <f t="shared" si="6"/>
        <v>225000</v>
      </c>
      <c r="H48" s="372">
        <v>225000</v>
      </c>
      <c r="I48" s="372"/>
      <c r="J48" s="373"/>
      <c r="K48" s="373"/>
      <c r="L48" s="599"/>
    </row>
    <row r="49" spans="1:12" ht="19.5">
      <c r="A49" s="363"/>
      <c r="B49" s="379"/>
      <c r="C49" s="370"/>
      <c r="D49" s="371"/>
      <c r="E49" s="466" t="s">
        <v>290</v>
      </c>
      <c r="F49" s="372">
        <v>13026646</v>
      </c>
      <c r="G49" s="365">
        <f t="shared" si="6"/>
        <v>127000</v>
      </c>
      <c r="H49" s="372">
        <v>127000</v>
      </c>
      <c r="I49" s="372"/>
      <c r="J49" s="373"/>
      <c r="K49" s="373"/>
      <c r="L49" s="599"/>
    </row>
    <row r="50" spans="1:12" ht="56.25">
      <c r="A50" s="363"/>
      <c r="B50" s="379"/>
      <c r="C50" s="370"/>
      <c r="D50" s="371">
        <v>6050</v>
      </c>
      <c r="E50" s="371" t="s">
        <v>45</v>
      </c>
      <c r="F50" s="723">
        <v>13448753.33</v>
      </c>
      <c r="G50" s="724">
        <f t="shared" si="6"/>
        <v>2947596.5300000003</v>
      </c>
      <c r="H50" s="723">
        <v>447596.53</v>
      </c>
      <c r="I50" s="723">
        <v>2500000</v>
      </c>
      <c r="J50" s="725"/>
      <c r="K50" s="373"/>
      <c r="L50" s="599" t="s">
        <v>495</v>
      </c>
    </row>
    <row r="51" spans="1:12" ht="13.5" customHeight="1">
      <c r="A51" s="363"/>
      <c r="B51" s="380"/>
      <c r="C51" s="363">
        <v>90095</v>
      </c>
      <c r="D51" s="364"/>
      <c r="E51" s="381" t="s">
        <v>190</v>
      </c>
      <c r="F51" s="382">
        <f aca="true" t="shared" si="7" ref="F51:K51">SUM(F52:F55)</f>
        <v>43279565</v>
      </c>
      <c r="G51" s="382">
        <f t="shared" si="7"/>
        <v>11667200</v>
      </c>
      <c r="H51" s="382">
        <f t="shared" si="7"/>
        <v>1944200</v>
      </c>
      <c r="I51" s="382">
        <f t="shared" si="7"/>
        <v>5000000</v>
      </c>
      <c r="J51" s="382">
        <f t="shared" si="7"/>
        <v>4723000</v>
      </c>
      <c r="K51" s="382">
        <f t="shared" si="7"/>
        <v>0</v>
      </c>
      <c r="L51" s="369"/>
    </row>
    <row r="52" spans="1:12" ht="45">
      <c r="A52" s="370"/>
      <c r="B52" s="379"/>
      <c r="C52" s="370"/>
      <c r="D52" s="371">
        <v>6050</v>
      </c>
      <c r="E52" s="383" t="s">
        <v>54</v>
      </c>
      <c r="F52" s="372">
        <v>26107000</v>
      </c>
      <c r="G52" s="365">
        <f>SUM(H52:K52)</f>
        <v>5113400</v>
      </c>
      <c r="H52" s="372">
        <v>113400</v>
      </c>
      <c r="I52" s="372">
        <v>5000000</v>
      </c>
      <c r="J52" s="373"/>
      <c r="K52" s="373" t="s">
        <v>197</v>
      </c>
      <c r="L52" s="599" t="s">
        <v>495</v>
      </c>
    </row>
    <row r="53" spans="1:12" ht="56.25">
      <c r="A53" s="384"/>
      <c r="B53" s="385"/>
      <c r="C53" s="385"/>
      <c r="D53" s="386">
        <v>6050</v>
      </c>
      <c r="E53" s="103" t="s">
        <v>55</v>
      </c>
      <c r="F53" s="387">
        <v>8488405</v>
      </c>
      <c r="G53" s="365">
        <f>SUM(H53:K53)</f>
        <v>5903800</v>
      </c>
      <c r="H53" s="387">
        <v>1180800</v>
      </c>
      <c r="I53" s="387"/>
      <c r="J53" s="369">
        <v>4723000</v>
      </c>
      <c r="K53" s="387"/>
      <c r="L53" s="751" t="s">
        <v>56</v>
      </c>
    </row>
    <row r="54" spans="1:12" ht="45">
      <c r="A54" s="384"/>
      <c r="B54" s="385"/>
      <c r="C54" s="385"/>
      <c r="D54" s="386">
        <v>6050</v>
      </c>
      <c r="E54" s="103" t="s">
        <v>57</v>
      </c>
      <c r="F54" s="387">
        <v>8300000</v>
      </c>
      <c r="G54" s="365">
        <f>SUM(H54:K54)</f>
        <v>300000</v>
      </c>
      <c r="H54" s="387">
        <v>300000</v>
      </c>
      <c r="I54" s="387"/>
      <c r="J54" s="369" t="s">
        <v>197</v>
      </c>
      <c r="K54" s="387"/>
      <c r="L54" s="599" t="s">
        <v>495</v>
      </c>
    </row>
    <row r="55" spans="1:12" ht="34.5" thickBot="1">
      <c r="A55" s="384"/>
      <c r="B55" s="428"/>
      <c r="C55" s="385"/>
      <c r="D55" s="386">
        <v>6050</v>
      </c>
      <c r="E55" s="103" t="s">
        <v>58</v>
      </c>
      <c r="F55" s="387">
        <v>384160</v>
      </c>
      <c r="G55" s="365">
        <f>SUM(H55:K55)</f>
        <v>350000</v>
      </c>
      <c r="H55" s="387">
        <v>350000</v>
      </c>
      <c r="I55" s="387"/>
      <c r="J55" s="369"/>
      <c r="K55" s="387"/>
      <c r="L55" s="599" t="s">
        <v>495</v>
      </c>
    </row>
    <row r="56" spans="1:12" ht="22.5" customHeight="1" thickBot="1">
      <c r="A56" s="356" t="s">
        <v>439</v>
      </c>
      <c r="B56" s="374">
        <v>921</v>
      </c>
      <c r="C56" s="356"/>
      <c r="D56" s="388"/>
      <c r="E56" s="303" t="s">
        <v>496</v>
      </c>
      <c r="F56" s="279">
        <f aca="true" t="shared" si="8" ref="F56:K56">SUM(F57)</f>
        <v>9322449</v>
      </c>
      <c r="G56" s="279">
        <f t="shared" si="8"/>
        <v>3780723</v>
      </c>
      <c r="H56" s="279">
        <f t="shared" si="8"/>
        <v>920723</v>
      </c>
      <c r="I56" s="279">
        <f t="shared" si="8"/>
        <v>2860000</v>
      </c>
      <c r="J56" s="279">
        <f t="shared" si="8"/>
        <v>0</v>
      </c>
      <c r="K56" s="279">
        <f t="shared" si="8"/>
        <v>0</v>
      </c>
      <c r="L56" s="390"/>
    </row>
    <row r="57" spans="1:12" ht="12.75">
      <c r="A57" s="391"/>
      <c r="B57" s="360"/>
      <c r="C57" s="360">
        <v>92109</v>
      </c>
      <c r="D57" s="392"/>
      <c r="E57" s="305" t="s">
        <v>236</v>
      </c>
      <c r="F57" s="280">
        <f aca="true" t="shared" si="9" ref="F57:K57">F58+F64</f>
        <v>9322449</v>
      </c>
      <c r="G57" s="280">
        <f t="shared" si="9"/>
        <v>3780723</v>
      </c>
      <c r="H57" s="280">
        <f t="shared" si="9"/>
        <v>920723</v>
      </c>
      <c r="I57" s="280">
        <f t="shared" si="9"/>
        <v>2860000</v>
      </c>
      <c r="J57" s="280">
        <f t="shared" si="9"/>
        <v>0</v>
      </c>
      <c r="K57" s="280">
        <f t="shared" si="9"/>
        <v>0</v>
      </c>
      <c r="L57" s="362"/>
    </row>
    <row r="58" spans="1:12" ht="12.75">
      <c r="A58" s="104"/>
      <c r="B58" s="363"/>
      <c r="C58" s="363"/>
      <c r="D58" s="364">
        <v>6050</v>
      </c>
      <c r="E58" s="378" t="s">
        <v>497</v>
      </c>
      <c r="F58" s="365">
        <v>6250070</v>
      </c>
      <c r="G58" s="365">
        <f>SUM(G60:G63)</f>
        <v>1281055</v>
      </c>
      <c r="H58" s="365">
        <f>SUM(H60:H63)</f>
        <v>421055</v>
      </c>
      <c r="I58" s="365">
        <f>SUM(I60:I63)</f>
        <v>860000</v>
      </c>
      <c r="J58" s="365">
        <f>SUM(J60)</f>
        <v>0</v>
      </c>
      <c r="K58" s="365">
        <f>SUM(K60)</f>
        <v>0</v>
      </c>
      <c r="L58" s="599" t="s">
        <v>495</v>
      </c>
    </row>
    <row r="59" spans="1:12" ht="12.75">
      <c r="A59" s="363"/>
      <c r="B59" s="363"/>
      <c r="C59" s="363"/>
      <c r="D59" s="364"/>
      <c r="E59" s="364" t="s">
        <v>251</v>
      </c>
      <c r="F59" s="365"/>
      <c r="G59" s="365"/>
      <c r="H59" s="365"/>
      <c r="I59" s="365"/>
      <c r="J59" s="366"/>
      <c r="K59" s="366"/>
      <c r="L59" s="362"/>
    </row>
    <row r="60" spans="1:12" ht="12.75">
      <c r="A60" s="363"/>
      <c r="B60" s="363"/>
      <c r="C60" s="363"/>
      <c r="D60" s="364"/>
      <c r="E60" s="378" t="s">
        <v>59</v>
      </c>
      <c r="F60" s="365">
        <v>308351</v>
      </c>
      <c r="G60" s="365">
        <f>SUM(H60:K60)</f>
        <v>298351</v>
      </c>
      <c r="H60" s="365">
        <v>98351</v>
      </c>
      <c r="I60" s="365">
        <v>200000</v>
      </c>
      <c r="J60" s="366"/>
      <c r="K60" s="366"/>
      <c r="L60" s="368"/>
    </row>
    <row r="61" spans="1:12" ht="22.5">
      <c r="A61" s="384"/>
      <c r="B61" s="393"/>
      <c r="C61" s="393"/>
      <c r="D61" s="394"/>
      <c r="E61" s="310" t="s">
        <v>60</v>
      </c>
      <c r="F61" s="387">
        <v>488439</v>
      </c>
      <c r="G61" s="365">
        <f>SUM(H61:K61)</f>
        <v>470482</v>
      </c>
      <c r="H61" s="387">
        <v>150482</v>
      </c>
      <c r="I61" s="387">
        <v>320000</v>
      </c>
      <c r="J61" s="369"/>
      <c r="K61" s="387"/>
      <c r="L61" s="369"/>
    </row>
    <row r="62" spans="1:12" ht="12.75">
      <c r="A62" s="395"/>
      <c r="B62" s="396"/>
      <c r="C62" s="396"/>
      <c r="D62" s="397"/>
      <c r="E62" s="383" t="s">
        <v>61</v>
      </c>
      <c r="F62" s="398">
        <v>492222</v>
      </c>
      <c r="G62" s="365">
        <f>SUM(H62:K62)</f>
        <v>492222</v>
      </c>
      <c r="H62" s="398">
        <v>152222</v>
      </c>
      <c r="I62" s="398">
        <v>340000</v>
      </c>
      <c r="J62" s="368"/>
      <c r="K62" s="398"/>
      <c r="L62" s="369"/>
    </row>
    <row r="63" spans="1:12" ht="22.5">
      <c r="A63" s="395"/>
      <c r="B63" s="396"/>
      <c r="C63" s="396"/>
      <c r="D63" s="397"/>
      <c r="E63" s="383" t="s">
        <v>62</v>
      </c>
      <c r="F63" s="398">
        <v>38000</v>
      </c>
      <c r="G63" s="365">
        <f>SUM(H63:K63)</f>
        <v>20000</v>
      </c>
      <c r="H63" s="398">
        <v>20000</v>
      </c>
      <c r="I63" s="398"/>
      <c r="J63" s="368"/>
      <c r="K63" s="398"/>
      <c r="L63" s="369"/>
    </row>
    <row r="64" spans="1:12" ht="34.5" thickBot="1">
      <c r="A64" s="370"/>
      <c r="B64" s="370"/>
      <c r="C64" s="370"/>
      <c r="D64" s="371">
        <v>6050</v>
      </c>
      <c r="E64" s="383" t="s">
        <v>63</v>
      </c>
      <c r="F64" s="372">
        <v>3072379</v>
      </c>
      <c r="G64" s="365">
        <f>SUM(H64:K64)</f>
        <v>2499668</v>
      </c>
      <c r="H64" s="372">
        <v>499668</v>
      </c>
      <c r="I64" s="372">
        <v>2000000</v>
      </c>
      <c r="J64" s="373"/>
      <c r="K64" s="373"/>
      <c r="L64" s="368" t="s">
        <v>493</v>
      </c>
    </row>
    <row r="65" spans="1:12" ht="13.5" thickBot="1">
      <c r="A65" s="356" t="s">
        <v>439</v>
      </c>
      <c r="B65" s="374">
        <v>926</v>
      </c>
      <c r="C65" s="356"/>
      <c r="D65" s="388"/>
      <c r="E65" s="291" t="s">
        <v>498</v>
      </c>
      <c r="F65" s="279">
        <f>SUM(F66)</f>
        <v>10117904</v>
      </c>
      <c r="G65" s="279">
        <f aca="true" t="shared" si="10" ref="G65:K66">SUM(G66)</f>
        <v>35000</v>
      </c>
      <c r="H65" s="279">
        <f t="shared" si="10"/>
        <v>35000</v>
      </c>
      <c r="I65" s="279">
        <f t="shared" si="10"/>
        <v>0</v>
      </c>
      <c r="J65" s="279">
        <f t="shared" si="10"/>
        <v>0</v>
      </c>
      <c r="K65" s="389">
        <f t="shared" si="10"/>
        <v>0</v>
      </c>
      <c r="L65" s="359"/>
    </row>
    <row r="66" spans="1:12" ht="12.75">
      <c r="A66" s="360"/>
      <c r="B66" s="360"/>
      <c r="C66" s="360">
        <v>92605</v>
      </c>
      <c r="D66" s="392"/>
      <c r="E66" s="304" t="s">
        <v>257</v>
      </c>
      <c r="F66" s="280">
        <f>SUM(F67)</f>
        <v>10117904</v>
      </c>
      <c r="G66" s="280">
        <f t="shared" si="10"/>
        <v>35000</v>
      </c>
      <c r="H66" s="280">
        <f t="shared" si="10"/>
        <v>35000</v>
      </c>
      <c r="I66" s="280">
        <f t="shared" si="10"/>
        <v>0</v>
      </c>
      <c r="J66" s="280">
        <f t="shared" si="10"/>
        <v>0</v>
      </c>
      <c r="K66" s="280">
        <f t="shared" si="10"/>
        <v>0</v>
      </c>
      <c r="L66" s="362"/>
    </row>
    <row r="67" spans="1:12" ht="12.75">
      <c r="A67" s="104"/>
      <c r="B67" s="363"/>
      <c r="C67" s="363"/>
      <c r="D67" s="364">
        <v>6050</v>
      </c>
      <c r="E67" s="378" t="s">
        <v>499</v>
      </c>
      <c r="F67" s="365">
        <v>10117904</v>
      </c>
      <c r="G67" s="365">
        <f>SUM(H67:K67)</f>
        <v>35000</v>
      </c>
      <c r="H67" s="365">
        <f>SUM(H69:H70)</f>
        <v>35000</v>
      </c>
      <c r="I67" s="365">
        <f>SUM(I69:I70)</f>
        <v>0</v>
      </c>
      <c r="J67" s="365">
        <f>SUM(J69:J70)</f>
        <v>0</v>
      </c>
      <c r="K67" s="365">
        <f>SUM(K69:K70)</f>
        <v>0</v>
      </c>
      <c r="L67" s="599" t="s">
        <v>495</v>
      </c>
    </row>
    <row r="68" spans="1:12" ht="12.75">
      <c r="A68" s="363"/>
      <c r="B68" s="363"/>
      <c r="C68" s="363"/>
      <c r="D68" s="364"/>
      <c r="E68" s="364" t="s">
        <v>251</v>
      </c>
      <c r="F68" s="365"/>
      <c r="G68" s="365"/>
      <c r="H68" s="365"/>
      <c r="I68" s="365"/>
      <c r="J68" s="366"/>
      <c r="K68" s="366"/>
      <c r="L68" s="362"/>
    </row>
    <row r="69" spans="1:12" ht="12.75">
      <c r="A69" s="363"/>
      <c r="B69" s="363"/>
      <c r="C69" s="363"/>
      <c r="D69" s="364"/>
      <c r="E69" s="378" t="s">
        <v>64</v>
      </c>
      <c r="F69" s="365">
        <v>2020000</v>
      </c>
      <c r="G69" s="365">
        <f>SUM(H69:K69)</f>
        <v>20000</v>
      </c>
      <c r="H69" s="365">
        <f>20000</f>
        <v>20000</v>
      </c>
      <c r="I69" s="365"/>
      <c r="J69" s="366"/>
      <c r="K69" s="366"/>
      <c r="L69" s="368"/>
    </row>
    <row r="70" spans="1:12" ht="13.5" thickBot="1">
      <c r="A70" s="370"/>
      <c r="B70" s="370"/>
      <c r="C70" s="370"/>
      <c r="D70" s="371"/>
      <c r="E70" s="601" t="s">
        <v>501</v>
      </c>
      <c r="F70" s="372">
        <v>15000</v>
      </c>
      <c r="G70" s="372">
        <v>15000</v>
      </c>
      <c r="H70" s="372">
        <v>15000</v>
      </c>
      <c r="I70" s="372"/>
      <c r="J70" s="373" t="s">
        <v>197</v>
      </c>
      <c r="K70" s="373"/>
      <c r="L70" s="368"/>
    </row>
    <row r="71" spans="1:12" ht="13.5" thickBot="1">
      <c r="A71" s="356"/>
      <c r="B71" s="602"/>
      <c r="C71" s="602"/>
      <c r="D71" s="603"/>
      <c r="E71" s="604" t="s">
        <v>502</v>
      </c>
      <c r="F71" s="726">
        <f>SUM(F11+F31+F34+F37+F56+F65)</f>
        <v>346276867.93</v>
      </c>
      <c r="G71" s="726">
        <f>SUM(G11+G31+G34+G37+G56+G65)</f>
        <v>30588677.53</v>
      </c>
      <c r="H71" s="726">
        <f>SUM(H11+H31+H34+H37+H56+H65)</f>
        <v>7744697.53</v>
      </c>
      <c r="I71" s="726">
        <f>SUM(I11+I34+I37+I56+I65)</f>
        <v>18120980</v>
      </c>
      <c r="J71" s="726">
        <f>SUM(J11+J34+J37+J56+J65)</f>
        <v>4723000</v>
      </c>
      <c r="K71" s="726">
        <f>SUM(K11+K34+K37+K56+K65)</f>
        <v>0</v>
      </c>
      <c r="L71" s="605"/>
    </row>
    <row r="72" spans="1:12" ht="13.5" thickBot="1">
      <c r="A72" s="765" t="s">
        <v>503</v>
      </c>
      <c r="B72" s="766"/>
      <c r="C72" s="766"/>
      <c r="D72" s="766"/>
      <c r="E72" s="767"/>
      <c r="F72" s="400"/>
      <c r="G72" s="400"/>
      <c r="H72" s="400"/>
      <c r="I72" s="400"/>
      <c r="J72" s="400"/>
      <c r="K72" s="400"/>
      <c r="L72" s="401"/>
    </row>
    <row r="73" spans="1:12" ht="16.5" thickBot="1" thickTop="1">
      <c r="A73" s="606" t="s">
        <v>428</v>
      </c>
      <c r="B73" s="403">
        <v>600</v>
      </c>
      <c r="C73" s="282"/>
      <c r="D73" s="404"/>
      <c r="E73" s="278" t="s">
        <v>214</v>
      </c>
      <c r="F73" s="405">
        <f aca="true" t="shared" si="11" ref="F73:K73">SUM(F74)</f>
        <v>5851500</v>
      </c>
      <c r="G73" s="405">
        <f t="shared" si="11"/>
        <v>2627000</v>
      </c>
      <c r="H73" s="405">
        <f t="shared" si="11"/>
        <v>747000</v>
      </c>
      <c r="I73" s="405">
        <f t="shared" si="11"/>
        <v>1880000</v>
      </c>
      <c r="J73" s="405">
        <f t="shared" si="11"/>
        <v>0</v>
      </c>
      <c r="K73" s="405">
        <f t="shared" si="11"/>
        <v>0</v>
      </c>
      <c r="L73" s="607"/>
    </row>
    <row r="74" spans="1:12" ht="12.75">
      <c r="A74" s="402"/>
      <c r="B74" s="407"/>
      <c r="C74" s="242">
        <v>60016</v>
      </c>
      <c r="D74" s="408"/>
      <c r="E74" s="242" t="s">
        <v>203</v>
      </c>
      <c r="F74" s="409">
        <f aca="true" t="shared" si="12" ref="F74:K74">SUM(F75:F81)</f>
        <v>5851500</v>
      </c>
      <c r="G74" s="409">
        <f t="shared" si="12"/>
        <v>2627000</v>
      </c>
      <c r="H74" s="409">
        <f t="shared" si="12"/>
        <v>747000</v>
      </c>
      <c r="I74" s="409">
        <f t="shared" si="12"/>
        <v>1880000</v>
      </c>
      <c r="J74" s="409">
        <f t="shared" si="12"/>
        <v>0</v>
      </c>
      <c r="K74" s="409">
        <f t="shared" si="12"/>
        <v>0</v>
      </c>
      <c r="L74" s="410"/>
    </row>
    <row r="75" spans="1:12" ht="33.75">
      <c r="A75" s="255"/>
      <c r="B75" s="428"/>
      <c r="C75" s="385"/>
      <c r="D75" s="386">
        <v>6050</v>
      </c>
      <c r="E75" s="310" t="s">
        <v>65</v>
      </c>
      <c r="F75" s="387">
        <v>730000</v>
      </c>
      <c r="G75" s="387">
        <f aca="true" t="shared" si="13" ref="G75:G81">SUM(H75:K75)</f>
        <v>300000</v>
      </c>
      <c r="H75" s="387">
        <v>300000</v>
      </c>
      <c r="I75" s="387"/>
      <c r="J75" s="369" t="s">
        <v>197</v>
      </c>
      <c r="K75" s="387"/>
      <c r="L75" s="599" t="s">
        <v>495</v>
      </c>
    </row>
    <row r="76" spans="1:12" ht="22.5">
      <c r="A76" s="255"/>
      <c r="B76" s="385"/>
      <c r="C76" s="385"/>
      <c r="D76" s="386">
        <v>6050</v>
      </c>
      <c r="E76" s="310" t="s">
        <v>66</v>
      </c>
      <c r="F76" s="387">
        <v>202500</v>
      </c>
      <c r="G76" s="387">
        <f t="shared" si="13"/>
        <v>100000</v>
      </c>
      <c r="H76" s="387">
        <v>100000</v>
      </c>
      <c r="I76" s="387"/>
      <c r="J76" s="369"/>
      <c r="K76" s="387"/>
      <c r="L76" s="599" t="s">
        <v>495</v>
      </c>
    </row>
    <row r="77" spans="1:12" ht="33.75">
      <c r="A77" s="255"/>
      <c r="B77" s="385"/>
      <c r="C77" s="385"/>
      <c r="D77" s="386">
        <v>6050</v>
      </c>
      <c r="E77" s="310" t="s">
        <v>67</v>
      </c>
      <c r="F77" s="387">
        <v>1500000</v>
      </c>
      <c r="G77" s="387">
        <f t="shared" si="13"/>
        <v>72000</v>
      </c>
      <c r="H77" s="387">
        <v>72000</v>
      </c>
      <c r="I77" s="387"/>
      <c r="J77" s="369"/>
      <c r="K77" s="387"/>
      <c r="L77" s="599" t="s">
        <v>495</v>
      </c>
    </row>
    <row r="78" spans="1:12" ht="12.75">
      <c r="A78" s="255"/>
      <c r="B78" s="385"/>
      <c r="C78" s="385"/>
      <c r="D78" s="386">
        <v>6050</v>
      </c>
      <c r="E78" s="310" t="s">
        <v>68</v>
      </c>
      <c r="F78" s="387">
        <v>14000</v>
      </c>
      <c r="G78" s="387">
        <f t="shared" si="13"/>
        <v>14000</v>
      </c>
      <c r="H78" s="387">
        <v>14000</v>
      </c>
      <c r="I78" s="387"/>
      <c r="J78" s="369"/>
      <c r="K78" s="387"/>
      <c r="L78" s="599" t="s">
        <v>495</v>
      </c>
    </row>
    <row r="79" spans="1:12" ht="12.75">
      <c r="A79" s="255"/>
      <c r="B79" s="385"/>
      <c r="C79" s="385"/>
      <c r="D79" s="386">
        <v>6050</v>
      </c>
      <c r="E79" s="310" t="s">
        <v>294</v>
      </c>
      <c r="F79" s="387">
        <v>800000</v>
      </c>
      <c r="G79" s="387">
        <f t="shared" si="13"/>
        <v>800000</v>
      </c>
      <c r="H79" s="387">
        <v>100000</v>
      </c>
      <c r="I79" s="387">
        <v>700000</v>
      </c>
      <c r="J79" s="369"/>
      <c r="K79" s="387"/>
      <c r="L79" s="599" t="s">
        <v>495</v>
      </c>
    </row>
    <row r="80" spans="1:12" ht="45">
      <c r="A80" s="255"/>
      <c r="B80" s="385"/>
      <c r="C80" s="385"/>
      <c r="D80" s="386">
        <v>6050</v>
      </c>
      <c r="E80" s="310" t="s">
        <v>295</v>
      </c>
      <c r="F80" s="387">
        <v>2282000</v>
      </c>
      <c r="G80" s="387">
        <f t="shared" si="13"/>
        <v>1141000</v>
      </c>
      <c r="H80" s="387">
        <v>141000</v>
      </c>
      <c r="I80" s="387">
        <v>1000000</v>
      </c>
      <c r="J80" s="369"/>
      <c r="K80" s="387"/>
      <c r="L80" s="599" t="s">
        <v>495</v>
      </c>
    </row>
    <row r="81" spans="1:12" ht="13.5" thickBot="1">
      <c r="A81" s="424"/>
      <c r="B81" s="425"/>
      <c r="C81" s="425"/>
      <c r="D81" s="397">
        <v>6050</v>
      </c>
      <c r="E81" s="383" t="s">
        <v>296</v>
      </c>
      <c r="F81" s="398">
        <v>323000</v>
      </c>
      <c r="G81" s="398">
        <f t="shared" si="13"/>
        <v>200000</v>
      </c>
      <c r="H81" s="398">
        <v>20000</v>
      </c>
      <c r="I81" s="398">
        <v>180000</v>
      </c>
      <c r="J81" s="368"/>
      <c r="K81" s="398"/>
      <c r="L81" s="599" t="s">
        <v>495</v>
      </c>
    </row>
    <row r="82" spans="1:12" ht="13.5" thickBot="1">
      <c r="A82" s="606" t="s">
        <v>431</v>
      </c>
      <c r="B82" s="403">
        <v>700</v>
      </c>
      <c r="C82" s="278"/>
      <c r="D82" s="404"/>
      <c r="E82" s="288" t="s">
        <v>191</v>
      </c>
      <c r="F82" s="405">
        <f aca="true" t="shared" si="14" ref="F82:K82">SUM(F83)</f>
        <v>750000</v>
      </c>
      <c r="G82" s="405">
        <f t="shared" si="14"/>
        <v>750000</v>
      </c>
      <c r="H82" s="405">
        <f t="shared" si="14"/>
        <v>750000</v>
      </c>
      <c r="I82" s="405">
        <f t="shared" si="14"/>
        <v>0</v>
      </c>
      <c r="J82" s="405">
        <f t="shared" si="14"/>
        <v>0</v>
      </c>
      <c r="K82" s="733">
        <f t="shared" si="14"/>
        <v>0</v>
      </c>
      <c r="L82" s="414"/>
    </row>
    <row r="83" spans="1:12" ht="12.75">
      <c r="A83" s="402"/>
      <c r="B83" s="242"/>
      <c r="C83" s="242">
        <v>70005</v>
      </c>
      <c r="D83" s="408"/>
      <c r="E83" s="245" t="s">
        <v>239</v>
      </c>
      <c r="F83" s="409">
        <f aca="true" t="shared" si="15" ref="F83:K83">SUM(F84:F84)</f>
        <v>750000</v>
      </c>
      <c r="G83" s="409">
        <f t="shared" si="15"/>
        <v>750000</v>
      </c>
      <c r="H83" s="409">
        <f t="shared" si="15"/>
        <v>750000</v>
      </c>
      <c r="I83" s="409">
        <f t="shared" si="15"/>
        <v>0</v>
      </c>
      <c r="J83" s="409">
        <f t="shared" si="15"/>
        <v>0</v>
      </c>
      <c r="K83" s="409">
        <f t="shared" si="15"/>
        <v>0</v>
      </c>
      <c r="L83" s="410"/>
    </row>
    <row r="84" spans="1:12" ht="13.5" thickBot="1">
      <c r="A84" s="424"/>
      <c r="B84" s="416"/>
      <c r="C84" s="293"/>
      <c r="D84" s="417">
        <v>6060</v>
      </c>
      <c r="E84" s="418" t="s">
        <v>504</v>
      </c>
      <c r="F84" s="419">
        <v>750000</v>
      </c>
      <c r="G84" s="398">
        <f>SUM(H84:K84)</f>
        <v>750000</v>
      </c>
      <c r="H84" s="419">
        <v>750000</v>
      </c>
      <c r="I84" s="419"/>
      <c r="J84" s="419"/>
      <c r="K84" s="420"/>
      <c r="L84" s="599" t="s">
        <v>495</v>
      </c>
    </row>
    <row r="85" spans="1:12" ht="13.5" thickBot="1">
      <c r="A85" s="606" t="s">
        <v>433</v>
      </c>
      <c r="B85" s="403">
        <v>750</v>
      </c>
      <c r="C85" s="278"/>
      <c r="D85" s="404"/>
      <c r="E85" s="288" t="s">
        <v>216</v>
      </c>
      <c r="F85" s="405">
        <f>SUM(F86)</f>
        <v>100000</v>
      </c>
      <c r="G85" s="405">
        <f aca="true" t="shared" si="16" ref="G85:K86">SUM(G86)</f>
        <v>100000</v>
      </c>
      <c r="H85" s="405">
        <f t="shared" si="16"/>
        <v>100000</v>
      </c>
      <c r="I85" s="405">
        <f t="shared" si="16"/>
        <v>0</v>
      </c>
      <c r="J85" s="405">
        <f t="shared" si="16"/>
        <v>0</v>
      </c>
      <c r="K85" s="405">
        <f t="shared" si="16"/>
        <v>0</v>
      </c>
      <c r="L85" s="421"/>
    </row>
    <row r="86" spans="1:12" ht="22.5">
      <c r="A86" s="422"/>
      <c r="B86" s="242"/>
      <c r="C86" s="242">
        <v>75023</v>
      </c>
      <c r="D86" s="408"/>
      <c r="E86" s="305" t="s">
        <v>217</v>
      </c>
      <c r="F86" s="409">
        <f>SUM(F87)</f>
        <v>100000</v>
      </c>
      <c r="G86" s="409">
        <f t="shared" si="16"/>
        <v>100000</v>
      </c>
      <c r="H86" s="409">
        <f t="shared" si="16"/>
        <v>100000</v>
      </c>
      <c r="I86" s="409">
        <f t="shared" si="16"/>
        <v>0</v>
      </c>
      <c r="J86" s="409">
        <f t="shared" si="16"/>
        <v>0</v>
      </c>
      <c r="K86" s="409">
        <f t="shared" si="16"/>
        <v>0</v>
      </c>
      <c r="L86" s="369"/>
    </row>
    <row r="87" spans="1:12" ht="13.5" thickBot="1">
      <c r="A87" s="424"/>
      <c r="B87" s="425"/>
      <c r="C87" s="425"/>
      <c r="D87" s="397">
        <v>6060</v>
      </c>
      <c r="E87" s="426" t="s">
        <v>505</v>
      </c>
      <c r="F87" s="398">
        <v>100000</v>
      </c>
      <c r="G87" s="387">
        <f>SUM(H87:K87)</f>
        <v>100000</v>
      </c>
      <c r="H87" s="398">
        <v>100000</v>
      </c>
      <c r="I87" s="398"/>
      <c r="J87" s="398"/>
      <c r="K87" s="398"/>
      <c r="L87" s="599" t="s">
        <v>495</v>
      </c>
    </row>
    <row r="88" spans="1:12" ht="23.25" thickBot="1">
      <c r="A88" s="606" t="s">
        <v>436</v>
      </c>
      <c r="B88" s="427">
        <v>754</v>
      </c>
      <c r="C88" s="291"/>
      <c r="D88" s="404"/>
      <c r="E88" s="244" t="s">
        <v>410</v>
      </c>
      <c r="F88" s="405">
        <f>SUM(F89+F91)</f>
        <v>425000</v>
      </c>
      <c r="G88" s="405">
        <f>SUM(G89+G91)</f>
        <v>425000</v>
      </c>
      <c r="H88" s="405">
        <f>SUM(H89+H91)</f>
        <v>425000</v>
      </c>
      <c r="I88" s="405">
        <f>SUM(I91)</f>
        <v>0</v>
      </c>
      <c r="J88" s="405">
        <f>SUM(J91)</f>
        <v>0</v>
      </c>
      <c r="K88" s="405">
        <f>SUM(K91)</f>
        <v>0</v>
      </c>
      <c r="L88" s="414"/>
    </row>
    <row r="89" spans="1:12" ht="12.75">
      <c r="A89" s="608"/>
      <c r="B89" s="609"/>
      <c r="C89" s="430">
        <v>75412</v>
      </c>
      <c r="D89" s="431"/>
      <c r="E89" s="610" t="s">
        <v>69</v>
      </c>
      <c r="F89" s="433">
        <f>SUM(F90)</f>
        <v>370000</v>
      </c>
      <c r="G89" s="433">
        <f>SUM(G90)</f>
        <v>370000</v>
      </c>
      <c r="H89" s="433">
        <f>SUM(H90)</f>
        <v>370000</v>
      </c>
      <c r="I89" s="433"/>
      <c r="J89" s="433"/>
      <c r="K89" s="433"/>
      <c r="L89" s="414"/>
    </row>
    <row r="90" spans="1:12" ht="22.5">
      <c r="A90" s="611"/>
      <c r="B90" s="612"/>
      <c r="C90" s="613"/>
      <c r="D90" s="417">
        <v>6060</v>
      </c>
      <c r="E90" s="476" t="s">
        <v>70</v>
      </c>
      <c r="F90" s="470">
        <v>370000</v>
      </c>
      <c r="G90" s="419">
        <f>SUM(H90:K90)</f>
        <v>370000</v>
      </c>
      <c r="H90" s="470">
        <v>370000</v>
      </c>
      <c r="I90" s="614"/>
      <c r="J90" s="614"/>
      <c r="K90" s="614"/>
      <c r="L90" s="599" t="s">
        <v>495</v>
      </c>
    </row>
    <row r="91" spans="1:12" ht="12.75">
      <c r="A91" s="255"/>
      <c r="B91" s="386"/>
      <c r="C91" s="393">
        <v>75414</v>
      </c>
      <c r="D91" s="393"/>
      <c r="E91" s="316" t="s">
        <v>198</v>
      </c>
      <c r="F91" s="423">
        <f>SUM(F92)</f>
        <v>55000</v>
      </c>
      <c r="G91" s="423">
        <f>SUM(G92)</f>
        <v>55000</v>
      </c>
      <c r="H91" s="423">
        <f>SUM(H92)</f>
        <v>55000</v>
      </c>
      <c r="I91" s="423"/>
      <c r="J91" s="429"/>
      <c r="K91" s="423"/>
      <c r="L91" s="429"/>
    </row>
    <row r="92" spans="1:12" ht="23.25" thickBot="1">
      <c r="A92" s="424"/>
      <c r="B92" s="397"/>
      <c r="C92" s="397"/>
      <c r="D92" s="397">
        <v>6060</v>
      </c>
      <c r="E92" s="383" t="s">
        <v>506</v>
      </c>
      <c r="F92" s="398">
        <v>55000</v>
      </c>
      <c r="G92" s="398">
        <f>SUM(H92:K92)</f>
        <v>55000</v>
      </c>
      <c r="H92" s="398">
        <v>55000</v>
      </c>
      <c r="I92" s="398"/>
      <c r="J92" s="368"/>
      <c r="K92" s="398"/>
      <c r="L92" s="599" t="s">
        <v>495</v>
      </c>
    </row>
    <row r="93" spans="1:12" ht="13.5" thickBot="1">
      <c r="A93" s="606" t="s">
        <v>439</v>
      </c>
      <c r="B93" s="403">
        <v>801</v>
      </c>
      <c r="C93" s="278"/>
      <c r="D93" s="404"/>
      <c r="E93" s="288" t="s">
        <v>192</v>
      </c>
      <c r="F93" s="405">
        <f>SUM(F94+F98)</f>
        <v>530000</v>
      </c>
      <c r="G93" s="405">
        <f>SUM(G94+G98)</f>
        <v>518000</v>
      </c>
      <c r="H93" s="405">
        <f>SUM(H94+H98)</f>
        <v>518000</v>
      </c>
      <c r="I93" s="405">
        <f>SUM(I94)</f>
        <v>0</v>
      </c>
      <c r="J93" s="405">
        <f>SUM(J94)</f>
        <v>0</v>
      </c>
      <c r="K93" s="405">
        <f>SUM(K94)</f>
        <v>0</v>
      </c>
      <c r="L93" s="414"/>
    </row>
    <row r="94" spans="1:12" ht="12.75">
      <c r="A94" s="402"/>
      <c r="B94" s="415"/>
      <c r="C94" s="242">
        <v>80101</v>
      </c>
      <c r="D94" s="408"/>
      <c r="E94" s="245" t="s">
        <v>412</v>
      </c>
      <c r="F94" s="409">
        <f>SUM(F95:F97)</f>
        <v>515000</v>
      </c>
      <c r="G94" s="409">
        <f>SUM(G95:G97)</f>
        <v>503000</v>
      </c>
      <c r="H94" s="409">
        <f>SUM(H95:H97)</f>
        <v>503000</v>
      </c>
      <c r="I94" s="409">
        <f>SUM(I95:I96)</f>
        <v>0</v>
      </c>
      <c r="J94" s="409"/>
      <c r="K94" s="409"/>
      <c r="L94" s="410"/>
    </row>
    <row r="95" spans="1:12" ht="22.5">
      <c r="A95" s="255"/>
      <c r="B95" s="428"/>
      <c r="C95" s="385"/>
      <c r="D95" s="386">
        <v>6050</v>
      </c>
      <c r="E95" s="412" t="s">
        <v>71</v>
      </c>
      <c r="F95" s="387">
        <v>258000</v>
      </c>
      <c r="G95" s="387">
        <f>SUM(H95:K95)</f>
        <v>253000</v>
      </c>
      <c r="H95" s="387">
        <v>253000</v>
      </c>
      <c r="I95" s="387"/>
      <c r="J95" s="365"/>
      <c r="K95" s="387"/>
      <c r="L95" s="599" t="s">
        <v>495</v>
      </c>
    </row>
    <row r="96" spans="1:12" ht="22.5">
      <c r="A96" s="255"/>
      <c r="B96" s="385"/>
      <c r="C96" s="385"/>
      <c r="D96" s="386">
        <v>6050</v>
      </c>
      <c r="E96" s="412" t="s">
        <v>72</v>
      </c>
      <c r="F96" s="387">
        <v>207000</v>
      </c>
      <c r="G96" s="387">
        <f>SUM(H96:K96)</f>
        <v>200000</v>
      </c>
      <c r="H96" s="387">
        <v>200000</v>
      </c>
      <c r="I96" s="387"/>
      <c r="J96" s="365"/>
      <c r="K96" s="387"/>
      <c r="L96" s="599" t="s">
        <v>495</v>
      </c>
    </row>
    <row r="97" spans="1:12" ht="22.5">
      <c r="A97" s="255"/>
      <c r="B97" s="385"/>
      <c r="C97" s="385"/>
      <c r="D97" s="386">
        <v>6050</v>
      </c>
      <c r="E97" s="412" t="s">
        <v>73</v>
      </c>
      <c r="F97" s="387">
        <v>50000</v>
      </c>
      <c r="G97" s="387">
        <f>SUM(H97:K97)</f>
        <v>50000</v>
      </c>
      <c r="H97" s="387">
        <v>50000</v>
      </c>
      <c r="I97" s="387"/>
      <c r="J97" s="365" t="s">
        <v>197</v>
      </c>
      <c r="K97" s="387"/>
      <c r="L97" s="599" t="s">
        <v>495</v>
      </c>
    </row>
    <row r="98" spans="1:12" ht="22.5">
      <c r="A98" s="255"/>
      <c r="B98" s="385"/>
      <c r="C98" s="615">
        <v>80114</v>
      </c>
      <c r="D98" s="386"/>
      <c r="E98" s="106" t="s">
        <v>342</v>
      </c>
      <c r="F98" s="616">
        <f>SUM(F99)</f>
        <v>15000</v>
      </c>
      <c r="G98" s="616">
        <f>SUM(H98:K98)</f>
        <v>15000</v>
      </c>
      <c r="H98" s="616">
        <f>SUM(H99)</f>
        <v>15000</v>
      </c>
      <c r="I98" s="616"/>
      <c r="J98" s="367"/>
      <c r="K98" s="616"/>
      <c r="L98" s="369"/>
    </row>
    <row r="99" spans="1:12" ht="23.25" thickBot="1">
      <c r="A99" s="424"/>
      <c r="B99" s="425"/>
      <c r="C99" s="425"/>
      <c r="D99" s="397">
        <v>6050</v>
      </c>
      <c r="E99" s="426" t="s">
        <v>74</v>
      </c>
      <c r="F99" s="398">
        <v>15000</v>
      </c>
      <c r="G99" s="398">
        <f>SUM(H99:K99)</f>
        <v>15000</v>
      </c>
      <c r="H99" s="398">
        <v>15000</v>
      </c>
      <c r="I99" s="398"/>
      <c r="J99" s="372"/>
      <c r="K99" s="398"/>
      <c r="L99" s="368" t="s">
        <v>7</v>
      </c>
    </row>
    <row r="100" spans="1:12" ht="23.25" thickBot="1">
      <c r="A100" s="749" t="s">
        <v>442</v>
      </c>
      <c r="B100" s="617">
        <v>853</v>
      </c>
      <c r="C100" s="617"/>
      <c r="D100" s="404"/>
      <c r="E100" s="244" t="s">
        <v>310</v>
      </c>
      <c r="F100" s="618">
        <f aca="true" t="shared" si="17" ref="F100:K100">SUM(F101)</f>
        <v>1550000</v>
      </c>
      <c r="G100" s="618">
        <f t="shared" si="17"/>
        <v>100000</v>
      </c>
      <c r="H100" s="618">
        <f t="shared" si="17"/>
        <v>100000</v>
      </c>
      <c r="I100" s="618">
        <f t="shared" si="17"/>
        <v>0</v>
      </c>
      <c r="J100" s="618">
        <f t="shared" si="17"/>
        <v>0</v>
      </c>
      <c r="K100" s="618">
        <f t="shared" si="17"/>
        <v>0</v>
      </c>
      <c r="L100" s="583"/>
    </row>
    <row r="101" spans="1:12" ht="22.5">
      <c r="A101" s="608"/>
      <c r="B101" s="619"/>
      <c r="C101" s="619">
        <v>85311</v>
      </c>
      <c r="D101" s="408"/>
      <c r="E101" s="245" t="s">
        <v>75</v>
      </c>
      <c r="F101" s="620">
        <f aca="true" t="shared" si="18" ref="F101:K101">SUM(F102)</f>
        <v>1550000</v>
      </c>
      <c r="G101" s="620">
        <f t="shared" si="18"/>
        <v>100000</v>
      </c>
      <c r="H101" s="620">
        <f t="shared" si="18"/>
        <v>100000</v>
      </c>
      <c r="I101" s="620">
        <f t="shared" si="18"/>
        <v>0</v>
      </c>
      <c r="J101" s="620">
        <f t="shared" si="18"/>
        <v>0</v>
      </c>
      <c r="K101" s="620">
        <f t="shared" si="18"/>
        <v>0</v>
      </c>
      <c r="L101" s="585"/>
    </row>
    <row r="102" spans="1:12" ht="34.5" thickBot="1">
      <c r="A102" s="611"/>
      <c r="B102" s="621"/>
      <c r="C102" s="417"/>
      <c r="D102" s="386">
        <v>6050</v>
      </c>
      <c r="E102" s="418" t="s">
        <v>76</v>
      </c>
      <c r="F102" s="419">
        <v>1550000</v>
      </c>
      <c r="G102" s="387">
        <f>SUM(H102:K102)</f>
        <v>100000</v>
      </c>
      <c r="H102" s="419">
        <v>100000</v>
      </c>
      <c r="I102" s="419"/>
      <c r="J102" s="589"/>
      <c r="K102" s="413"/>
      <c r="L102" s="599" t="s">
        <v>495</v>
      </c>
    </row>
    <row r="103" spans="1:12" ht="23.25" thickBot="1">
      <c r="A103" s="606" t="s">
        <v>445</v>
      </c>
      <c r="B103" s="403">
        <v>900</v>
      </c>
      <c r="C103" s="278"/>
      <c r="D103" s="404"/>
      <c r="E103" s="288" t="s">
        <v>413</v>
      </c>
      <c r="F103" s="405">
        <f aca="true" t="shared" si="19" ref="F103:K103">SUM(F104+F108)</f>
        <v>1164500</v>
      </c>
      <c r="G103" s="405">
        <f t="shared" si="19"/>
        <v>783000</v>
      </c>
      <c r="H103" s="405">
        <f t="shared" si="19"/>
        <v>783000</v>
      </c>
      <c r="I103" s="405">
        <f t="shared" si="19"/>
        <v>0</v>
      </c>
      <c r="J103" s="405">
        <f t="shared" si="19"/>
        <v>0</v>
      </c>
      <c r="K103" s="405">
        <f t="shared" si="19"/>
        <v>0</v>
      </c>
      <c r="L103" s="406"/>
    </row>
    <row r="104" spans="1:12" ht="12.75">
      <c r="A104" s="377"/>
      <c r="B104" s="385"/>
      <c r="C104" s="434">
        <v>90015</v>
      </c>
      <c r="D104" s="393"/>
      <c r="E104" s="316" t="s">
        <v>507</v>
      </c>
      <c r="F104" s="423">
        <f>SUM(F105:F107)</f>
        <v>671000</v>
      </c>
      <c r="G104" s="423">
        <f>SUM(G105:G107)</f>
        <v>446000</v>
      </c>
      <c r="H104" s="423">
        <f>SUM(H105:H107)</f>
        <v>446000</v>
      </c>
      <c r="I104" s="423">
        <f>SUM(I105:I106)</f>
        <v>0</v>
      </c>
      <c r="J104" s="423">
        <f>SUM(J105:J106)</f>
        <v>0</v>
      </c>
      <c r="K104" s="423">
        <f>SUM(K105:K106)</f>
        <v>0</v>
      </c>
      <c r="L104" s="429"/>
    </row>
    <row r="105" spans="1:12" ht="22.5">
      <c r="A105" s="384"/>
      <c r="B105" s="385"/>
      <c r="C105" s="435"/>
      <c r="D105" s="386">
        <v>6050</v>
      </c>
      <c r="E105" s="103" t="s">
        <v>77</v>
      </c>
      <c r="F105" s="387">
        <v>605000</v>
      </c>
      <c r="G105" s="387">
        <f aca="true" t="shared" si="20" ref="G105:G111">SUM(H105:K105)</f>
        <v>405000</v>
      </c>
      <c r="H105" s="387">
        <v>405000</v>
      </c>
      <c r="I105" s="387"/>
      <c r="J105" s="365"/>
      <c r="K105" s="387"/>
      <c r="L105" s="599" t="s">
        <v>495</v>
      </c>
    </row>
    <row r="106" spans="1:12" ht="22.5">
      <c r="A106" s="384"/>
      <c r="B106" s="385"/>
      <c r="C106" s="435"/>
      <c r="D106" s="386">
        <v>6050</v>
      </c>
      <c r="E106" s="476" t="s">
        <v>89</v>
      </c>
      <c r="F106" s="622">
        <v>33000</v>
      </c>
      <c r="G106" s="387">
        <f t="shared" si="20"/>
        <v>33000</v>
      </c>
      <c r="H106" s="387">
        <v>33000</v>
      </c>
      <c r="I106" s="387"/>
      <c r="J106" s="365"/>
      <c r="K106" s="387"/>
      <c r="L106" s="599" t="s">
        <v>495</v>
      </c>
    </row>
    <row r="107" spans="1:12" ht="22.5">
      <c r="A107" s="384"/>
      <c r="B107" s="385"/>
      <c r="C107" s="435"/>
      <c r="D107" s="386">
        <v>6050</v>
      </c>
      <c r="E107" s="476" t="s">
        <v>90</v>
      </c>
      <c r="F107" s="622">
        <v>33000</v>
      </c>
      <c r="G107" s="387">
        <f t="shared" si="20"/>
        <v>8000</v>
      </c>
      <c r="H107" s="387">
        <v>8000</v>
      </c>
      <c r="I107" s="387"/>
      <c r="J107" s="365"/>
      <c r="K107" s="387"/>
      <c r="L107" s="599" t="s">
        <v>495</v>
      </c>
    </row>
    <row r="108" spans="1:12" ht="12.75">
      <c r="A108" s="384"/>
      <c r="B108" s="385"/>
      <c r="C108" s="434">
        <v>90095</v>
      </c>
      <c r="D108" s="386"/>
      <c r="E108" s="106" t="s">
        <v>190</v>
      </c>
      <c r="F108" s="423">
        <f aca="true" t="shared" si="21" ref="F108:K108">SUM(F109:F111)</f>
        <v>493500</v>
      </c>
      <c r="G108" s="423">
        <f t="shared" si="21"/>
        <v>337000</v>
      </c>
      <c r="H108" s="423">
        <f t="shared" si="21"/>
        <v>337000</v>
      </c>
      <c r="I108" s="423">
        <f t="shared" si="21"/>
        <v>0</v>
      </c>
      <c r="J108" s="423">
        <f t="shared" si="21"/>
        <v>0</v>
      </c>
      <c r="K108" s="423">
        <f t="shared" si="21"/>
        <v>0</v>
      </c>
      <c r="L108" s="387"/>
    </row>
    <row r="109" spans="1:12" ht="17.25" customHeight="1">
      <c r="A109" s="384"/>
      <c r="B109" s="385"/>
      <c r="C109" s="385"/>
      <c r="D109" s="386">
        <v>6050</v>
      </c>
      <c r="E109" s="412" t="s">
        <v>91</v>
      </c>
      <c r="F109" s="387">
        <v>50000</v>
      </c>
      <c r="G109" s="387">
        <f t="shared" si="20"/>
        <v>50000</v>
      </c>
      <c r="H109" s="387">
        <v>50000</v>
      </c>
      <c r="I109" s="387"/>
      <c r="J109" s="369"/>
      <c r="K109" s="387"/>
      <c r="L109" s="599" t="s">
        <v>495</v>
      </c>
    </row>
    <row r="110" spans="1:12" ht="14.25" customHeight="1">
      <c r="A110" s="436"/>
      <c r="B110" s="385"/>
      <c r="C110" s="385"/>
      <c r="D110" s="386">
        <v>6050</v>
      </c>
      <c r="E110" s="412" t="s">
        <v>92</v>
      </c>
      <c r="F110" s="398">
        <v>350000</v>
      </c>
      <c r="G110" s="398">
        <f t="shared" si="20"/>
        <v>200000</v>
      </c>
      <c r="H110" s="398">
        <v>200000</v>
      </c>
      <c r="I110" s="398"/>
      <c r="J110" s="368"/>
      <c r="K110" s="398"/>
      <c r="L110" s="599" t="s">
        <v>495</v>
      </c>
    </row>
    <row r="111" spans="1:12" ht="23.25" thickBot="1">
      <c r="A111" s="436"/>
      <c r="B111" s="428"/>
      <c r="C111" s="385"/>
      <c r="D111" s="386">
        <v>6050</v>
      </c>
      <c r="E111" s="412" t="s">
        <v>93</v>
      </c>
      <c r="F111" s="398">
        <v>93500</v>
      </c>
      <c r="G111" s="398">
        <f t="shared" si="20"/>
        <v>87000</v>
      </c>
      <c r="H111" s="398">
        <v>87000</v>
      </c>
      <c r="I111" s="398"/>
      <c r="J111" s="368"/>
      <c r="K111" s="398"/>
      <c r="L111" s="599" t="s">
        <v>495</v>
      </c>
    </row>
    <row r="112" spans="1:12" ht="13.5" thickBot="1">
      <c r="A112" s="623" t="s">
        <v>448</v>
      </c>
      <c r="B112" s="374">
        <v>921</v>
      </c>
      <c r="C112" s="356"/>
      <c r="D112" s="388"/>
      <c r="E112" s="303" t="s">
        <v>496</v>
      </c>
      <c r="F112" s="618">
        <f aca="true" t="shared" si="22" ref="F112:K112">SUM(F113)</f>
        <v>395000</v>
      </c>
      <c r="G112" s="618">
        <f t="shared" si="22"/>
        <v>275000</v>
      </c>
      <c r="H112" s="618">
        <f t="shared" si="22"/>
        <v>275000</v>
      </c>
      <c r="I112" s="618">
        <f t="shared" si="22"/>
        <v>0</v>
      </c>
      <c r="J112" s="618">
        <f t="shared" si="22"/>
        <v>0</v>
      </c>
      <c r="K112" s="618">
        <f t="shared" si="22"/>
        <v>0</v>
      </c>
      <c r="L112" s="624"/>
    </row>
    <row r="113" spans="1:12" ht="12.75">
      <c r="A113" s="436"/>
      <c r="B113" s="360"/>
      <c r="C113" s="360">
        <v>92109</v>
      </c>
      <c r="D113" s="392"/>
      <c r="E113" s="305" t="s">
        <v>236</v>
      </c>
      <c r="F113" s="625">
        <f aca="true" t="shared" si="23" ref="F113:K113">SUM(F114)</f>
        <v>395000</v>
      </c>
      <c r="G113" s="625">
        <f t="shared" si="23"/>
        <v>275000</v>
      </c>
      <c r="H113" s="625">
        <f t="shared" si="23"/>
        <v>275000</v>
      </c>
      <c r="I113" s="625">
        <f t="shared" si="23"/>
        <v>0</v>
      </c>
      <c r="J113" s="625">
        <f t="shared" si="23"/>
        <v>0</v>
      </c>
      <c r="K113" s="625">
        <f t="shared" si="23"/>
        <v>0</v>
      </c>
      <c r="L113" s="626"/>
    </row>
    <row r="114" spans="1:12" ht="13.5" thickBot="1">
      <c r="A114" s="627"/>
      <c r="B114" s="628"/>
      <c r="C114" s="629"/>
      <c r="D114" s="417">
        <v>6050</v>
      </c>
      <c r="E114" s="472" t="s">
        <v>94</v>
      </c>
      <c r="F114" s="398">
        <v>395000</v>
      </c>
      <c r="G114" s="398">
        <v>275000</v>
      </c>
      <c r="H114" s="398">
        <v>275000</v>
      </c>
      <c r="I114" s="398"/>
      <c r="J114" s="368"/>
      <c r="K114" s="398"/>
      <c r="L114" s="599" t="s">
        <v>495</v>
      </c>
    </row>
    <row r="115" spans="1:12" ht="13.5" thickBot="1">
      <c r="A115" s="623" t="s">
        <v>297</v>
      </c>
      <c r="B115" s="729">
        <v>926</v>
      </c>
      <c r="C115" s="728">
        <v>92601</v>
      </c>
      <c r="D115" s="278"/>
      <c r="E115" s="291" t="s">
        <v>498</v>
      </c>
      <c r="F115" s="618">
        <f aca="true" t="shared" si="24" ref="F115:J116">SUM(F116)</f>
        <v>1500000</v>
      </c>
      <c r="G115" s="618">
        <f t="shared" si="24"/>
        <v>1500000</v>
      </c>
      <c r="H115" s="618">
        <f t="shared" si="24"/>
        <v>833666</v>
      </c>
      <c r="I115" s="618">
        <f t="shared" si="24"/>
        <v>0</v>
      </c>
      <c r="J115" s="618">
        <f t="shared" si="24"/>
        <v>666334</v>
      </c>
      <c r="K115" s="730"/>
      <c r="L115" s="583"/>
    </row>
    <row r="116" spans="1:12" ht="12.75">
      <c r="A116" s="731"/>
      <c r="B116" s="732"/>
      <c r="C116" s="415"/>
      <c r="D116" s="242">
        <v>6050</v>
      </c>
      <c r="E116" s="304" t="s">
        <v>1</v>
      </c>
      <c r="F116" s="625">
        <f t="shared" si="24"/>
        <v>1500000</v>
      </c>
      <c r="G116" s="625">
        <f t="shared" si="24"/>
        <v>1500000</v>
      </c>
      <c r="H116" s="625">
        <f t="shared" si="24"/>
        <v>833666</v>
      </c>
      <c r="I116" s="625">
        <f t="shared" si="24"/>
        <v>0</v>
      </c>
      <c r="J116" s="625">
        <f t="shared" si="24"/>
        <v>666334</v>
      </c>
      <c r="K116" s="419"/>
      <c r="L116" s="585"/>
    </row>
    <row r="117" spans="1:12" ht="22.5">
      <c r="A117" s="384"/>
      <c r="B117" s="628"/>
      <c r="C117" s="415"/>
      <c r="D117" s="242"/>
      <c r="E117" s="300" t="s">
        <v>298</v>
      </c>
      <c r="F117" s="398">
        <v>1500000</v>
      </c>
      <c r="G117" s="398">
        <v>1500000</v>
      </c>
      <c r="H117" s="398">
        <v>833666</v>
      </c>
      <c r="I117" s="398"/>
      <c r="J117" s="368">
        <v>666334</v>
      </c>
      <c r="K117" s="398"/>
      <c r="L117" s="599" t="s">
        <v>495</v>
      </c>
    </row>
    <row r="118" spans="1:12" ht="12.75">
      <c r="A118" s="436"/>
      <c r="B118" s="399"/>
      <c r="C118" s="399"/>
      <c r="D118" s="399"/>
      <c r="E118" s="399" t="s">
        <v>508</v>
      </c>
      <c r="F118" s="423">
        <f>SUM(F73+F82+F85+F88+F93+F100+F103+F112+F115)</f>
        <v>12266000</v>
      </c>
      <c r="G118" s="423">
        <f>SUM(G73+G82+G85+G88+G93+G100+G103+G112+G115)</f>
        <v>7078000</v>
      </c>
      <c r="H118" s="423">
        <f>SUM(H73+H82+H85+H88+H93+H100+H103+H112+H115)</f>
        <v>4531666</v>
      </c>
      <c r="I118" s="423">
        <f>SUM(I73+I82+I85+I88+I93+I100+I103+I112+I115)</f>
        <v>1880000</v>
      </c>
      <c r="J118" s="423">
        <f>SUM(J73+J82+J85+J88+J93+J100+J103+J112+J115)</f>
        <v>666334</v>
      </c>
      <c r="K118" s="423">
        <f>SUM(K73+K82+K85+K88+K93+K100+K103+K112)</f>
        <v>0</v>
      </c>
      <c r="L118" s="369"/>
    </row>
    <row r="119" spans="1:12" ht="12.75">
      <c r="A119" s="437"/>
      <c r="B119" s="438"/>
      <c r="C119" s="438"/>
      <c r="D119" s="438"/>
      <c r="E119" s="439" t="s">
        <v>509</v>
      </c>
      <c r="F119" s="739">
        <f aca="true" t="shared" si="25" ref="F119:K119">SUM(F71+F118)</f>
        <v>358542867.93</v>
      </c>
      <c r="G119" s="739">
        <f t="shared" si="25"/>
        <v>37666677.53</v>
      </c>
      <c r="H119" s="739">
        <f t="shared" si="25"/>
        <v>12276363.530000001</v>
      </c>
      <c r="I119" s="739">
        <f t="shared" si="25"/>
        <v>20000980</v>
      </c>
      <c r="J119" s="739">
        <f t="shared" si="25"/>
        <v>5389334</v>
      </c>
      <c r="K119" s="739">
        <f t="shared" si="25"/>
        <v>0</v>
      </c>
      <c r="L119" s="740" t="s">
        <v>357</v>
      </c>
    </row>
    <row r="120" ht="12.75">
      <c r="A120" s="440"/>
    </row>
    <row r="121" ht="12.75">
      <c r="F121" t="s">
        <v>197</v>
      </c>
    </row>
    <row r="122" ht="12.75">
      <c r="A122" s="333" t="s">
        <v>510</v>
      </c>
    </row>
    <row r="123" ht="12.75">
      <c r="A123" s="333" t="s">
        <v>511</v>
      </c>
    </row>
    <row r="124" ht="12.75">
      <c r="A124" s="333" t="s">
        <v>512</v>
      </c>
    </row>
    <row r="125" ht="12.75">
      <c r="A125" s="333" t="s">
        <v>513</v>
      </c>
    </row>
  </sheetData>
  <mergeCells count="18">
    <mergeCell ref="L4:L8"/>
    <mergeCell ref="A10:I10"/>
    <mergeCell ref="G5:G8"/>
    <mergeCell ref="H5:K5"/>
    <mergeCell ref="H6:H8"/>
    <mergeCell ref="I6:I8"/>
    <mergeCell ref="J6:J8"/>
    <mergeCell ref="K6:K8"/>
    <mergeCell ref="A72:E72"/>
    <mergeCell ref="A1:E1"/>
    <mergeCell ref="A2:L2"/>
    <mergeCell ref="A4:A8"/>
    <mergeCell ref="B4:B8"/>
    <mergeCell ref="C4:C8"/>
    <mergeCell ref="D4:D8"/>
    <mergeCell ref="E4:E8"/>
    <mergeCell ref="F4:F8"/>
    <mergeCell ref="G4:K4"/>
  </mergeCells>
  <printOptions/>
  <pageMargins left="0.75" right="0.75" top="1" bottom="1" header="0.5" footer="0.5"/>
  <pageSetup horizontalDpi="600" verticalDpi="600" orientation="landscape" paperSize="9" scale="77" r:id="rId1"/>
  <rowBreaks count="4" manualBreakCount="4">
    <brk id="27" max="255" man="1"/>
    <brk id="52" max="255" man="1"/>
    <brk id="78" max="255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N79" sqref="N79"/>
    </sheetView>
  </sheetViews>
  <sheetFormatPr defaultColWidth="9.00390625" defaultRowHeight="12.75"/>
  <cols>
    <col min="1" max="1" width="3.125" style="0" customWidth="1"/>
    <col min="2" max="2" width="4.375" style="0" customWidth="1"/>
    <col min="3" max="3" width="38.125" style="0" customWidth="1"/>
    <col min="4" max="4" width="7.00390625" style="0" customWidth="1"/>
    <col min="5" max="5" width="10.125" style="0" customWidth="1"/>
    <col min="6" max="6" width="8.75390625" style="0" customWidth="1"/>
    <col min="7" max="7" width="9.875" style="0" customWidth="1"/>
    <col min="8" max="8" width="9.25390625" style="0" customWidth="1"/>
    <col min="12" max="12" width="9.25390625" style="0" customWidth="1"/>
    <col min="14" max="14" width="12.75390625" style="0" customWidth="1"/>
  </cols>
  <sheetData>
    <row r="1" spans="1:3" ht="52.5" customHeight="1">
      <c r="A1" s="775" t="s">
        <v>84</v>
      </c>
      <c r="B1" s="776"/>
      <c r="C1" s="776"/>
    </row>
    <row r="2" spans="1:14" ht="18.75">
      <c r="A2" s="780" t="s">
        <v>95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2"/>
      <c r="N2" s="441"/>
    </row>
    <row r="3" spans="1:14" ht="15">
      <c r="A3" s="99"/>
      <c r="B3" s="99"/>
      <c r="C3" s="99"/>
      <c r="D3" s="99"/>
      <c r="E3" s="777" t="s">
        <v>251</v>
      </c>
      <c r="F3" s="778"/>
      <c r="G3" s="778"/>
      <c r="H3" s="778"/>
      <c r="I3" s="778"/>
      <c r="J3" s="352"/>
      <c r="K3" s="352"/>
      <c r="L3" s="352"/>
      <c r="M3" s="352"/>
      <c r="N3" s="352"/>
    </row>
    <row r="4" spans="1:14" ht="15">
      <c r="A4" s="99"/>
      <c r="B4" s="99"/>
      <c r="C4" s="99"/>
      <c r="D4" s="99"/>
      <c r="E4" s="442"/>
      <c r="F4" s="442"/>
      <c r="G4" s="442"/>
      <c r="H4" s="779"/>
      <c r="I4" s="779"/>
      <c r="J4" s="443"/>
      <c r="K4" s="443"/>
      <c r="L4" s="443"/>
      <c r="M4" s="443"/>
      <c r="N4" s="443"/>
    </row>
    <row r="5" spans="1:14" ht="33">
      <c r="A5" s="444" t="s">
        <v>209</v>
      </c>
      <c r="B5" s="444" t="s">
        <v>360</v>
      </c>
      <c r="C5" s="445" t="s">
        <v>403</v>
      </c>
      <c r="D5" s="445" t="s">
        <v>404</v>
      </c>
      <c r="E5" s="445" t="s">
        <v>405</v>
      </c>
      <c r="F5" s="445" t="s">
        <v>406</v>
      </c>
      <c r="G5" s="445" t="s">
        <v>407</v>
      </c>
      <c r="H5" s="445">
        <v>2009</v>
      </c>
      <c r="I5" s="445">
        <v>2010</v>
      </c>
      <c r="J5" s="445">
        <v>2011</v>
      </c>
      <c r="K5" s="445">
        <v>2012</v>
      </c>
      <c r="L5" s="445">
        <v>2013</v>
      </c>
      <c r="M5" s="445">
        <v>2014</v>
      </c>
      <c r="N5" s="445" t="s">
        <v>408</v>
      </c>
    </row>
    <row r="6" spans="1:14" ht="13.5" thickBot="1">
      <c r="A6" s="446">
        <v>1</v>
      </c>
      <c r="B6" s="446">
        <v>2</v>
      </c>
      <c r="C6" s="447">
        <v>3</v>
      </c>
      <c r="D6" s="447">
        <v>4</v>
      </c>
      <c r="E6" s="447">
        <v>5</v>
      </c>
      <c r="F6" s="447">
        <v>6</v>
      </c>
      <c r="G6" s="447">
        <v>7</v>
      </c>
      <c r="H6" s="447">
        <v>8</v>
      </c>
      <c r="I6" s="447">
        <v>9</v>
      </c>
      <c r="J6" s="447">
        <v>10</v>
      </c>
      <c r="K6" s="447">
        <v>11</v>
      </c>
      <c r="L6" s="447">
        <v>12</v>
      </c>
      <c r="M6" s="447">
        <v>13</v>
      </c>
      <c r="N6" s="447">
        <v>14</v>
      </c>
    </row>
    <row r="7" spans="1:14" ht="33.75" customHeight="1" thickTop="1">
      <c r="A7" s="448">
        <v>600</v>
      </c>
      <c r="B7" s="449">
        <v>60016</v>
      </c>
      <c r="C7" s="456" t="s">
        <v>284</v>
      </c>
      <c r="D7" s="455" t="s">
        <v>102</v>
      </c>
      <c r="E7" s="452">
        <f>SUM(F7:G7)</f>
        <v>8540414</v>
      </c>
      <c r="F7" s="150">
        <v>240414</v>
      </c>
      <c r="G7" s="150">
        <f>SUM(H7:J7)</f>
        <v>8300000</v>
      </c>
      <c r="H7" s="150">
        <v>2000000</v>
      </c>
      <c r="I7" s="150">
        <v>2000000</v>
      </c>
      <c r="J7" s="150">
        <v>4300000</v>
      </c>
      <c r="K7" s="150"/>
      <c r="L7" s="150">
        <v>0</v>
      </c>
      <c r="M7" s="150"/>
      <c r="N7" s="456"/>
    </row>
    <row r="8" spans="1:14" ht="25.5">
      <c r="A8" s="448">
        <v>600</v>
      </c>
      <c r="B8" s="449">
        <v>60016</v>
      </c>
      <c r="C8" s="450" t="s">
        <v>275</v>
      </c>
      <c r="D8" s="451" t="s">
        <v>96</v>
      </c>
      <c r="E8" s="630">
        <f aca="true" t="shared" si="0" ref="E8:M8">SUM(E9:E17)</f>
        <v>63849000</v>
      </c>
      <c r="F8" s="630">
        <f t="shared" si="0"/>
        <v>60000</v>
      </c>
      <c r="G8" s="630">
        <f t="shared" si="0"/>
        <v>63789000</v>
      </c>
      <c r="H8" s="630">
        <f t="shared" si="0"/>
        <v>4075000</v>
      </c>
      <c r="I8" s="630">
        <f t="shared" si="0"/>
        <v>16024000</v>
      </c>
      <c r="J8" s="630">
        <f t="shared" si="0"/>
        <v>12976000</v>
      </c>
      <c r="K8" s="630">
        <f t="shared" si="0"/>
        <v>10714000</v>
      </c>
      <c r="L8" s="630">
        <f t="shared" si="0"/>
        <v>10000000</v>
      </c>
      <c r="M8" s="630">
        <f t="shared" si="0"/>
        <v>10000000</v>
      </c>
      <c r="N8" s="453" t="s">
        <v>514</v>
      </c>
    </row>
    <row r="9" spans="1:14" ht="20.25" customHeight="1">
      <c r="A9" s="454"/>
      <c r="B9" s="455"/>
      <c r="C9" s="456" t="s">
        <v>31</v>
      </c>
      <c r="D9" s="455" t="s">
        <v>518</v>
      </c>
      <c r="E9" s="452">
        <f aca="true" t="shared" si="1" ref="E9:E25">SUM(F9:G9)</f>
        <v>4410000</v>
      </c>
      <c r="F9" s="150"/>
      <c r="G9" s="150">
        <f>SUM(H9:L9)</f>
        <v>4410000</v>
      </c>
      <c r="H9" s="150">
        <v>240000</v>
      </c>
      <c r="I9" s="150">
        <v>2310000</v>
      </c>
      <c r="J9" s="150">
        <v>1860000</v>
      </c>
      <c r="L9" s="150"/>
      <c r="M9" s="150"/>
      <c r="N9" s="456" t="s">
        <v>97</v>
      </c>
    </row>
    <row r="10" spans="1:14" ht="19.5">
      <c r="A10" s="454"/>
      <c r="B10" s="455"/>
      <c r="C10" s="456" t="s">
        <v>98</v>
      </c>
      <c r="D10" s="455" t="s">
        <v>99</v>
      </c>
      <c r="E10" s="452">
        <f t="shared" si="1"/>
        <v>27000000</v>
      </c>
      <c r="F10" s="150"/>
      <c r="G10" s="150">
        <f>SUM(H10:M10)</f>
        <v>27000000</v>
      </c>
      <c r="H10" s="150"/>
      <c r="I10" s="150"/>
      <c r="J10" s="150">
        <v>1000000</v>
      </c>
      <c r="K10" s="150">
        <v>6000000</v>
      </c>
      <c r="L10" s="150">
        <v>10000000</v>
      </c>
      <c r="M10" s="150">
        <v>10000000</v>
      </c>
      <c r="N10" s="456" t="s">
        <v>100</v>
      </c>
    </row>
    <row r="11" spans="1:14" ht="29.25">
      <c r="A11" s="454"/>
      <c r="B11" s="455"/>
      <c r="C11" s="456" t="s">
        <v>276</v>
      </c>
      <c r="D11" s="455" t="s">
        <v>102</v>
      </c>
      <c r="E11" s="452">
        <f t="shared" si="1"/>
        <v>4707000</v>
      </c>
      <c r="F11" s="150">
        <v>60000</v>
      </c>
      <c r="G11" s="150">
        <f aca="true" t="shared" si="2" ref="G11:G16">SUM(H11:L11)</f>
        <v>4647000</v>
      </c>
      <c r="H11" s="150">
        <v>19000</v>
      </c>
      <c r="I11" s="150">
        <v>1828000</v>
      </c>
      <c r="J11" s="631">
        <v>2800000</v>
      </c>
      <c r="K11" s="150"/>
      <c r="L11" s="150"/>
      <c r="M11" s="150"/>
      <c r="N11" s="456" t="s">
        <v>103</v>
      </c>
    </row>
    <row r="12" spans="1:14" ht="13.5" customHeight="1">
      <c r="A12" s="454"/>
      <c r="B12" s="455"/>
      <c r="C12" s="580" t="s">
        <v>30</v>
      </c>
      <c r="D12" s="455" t="s">
        <v>104</v>
      </c>
      <c r="E12" s="452">
        <f t="shared" si="1"/>
        <v>1516000</v>
      </c>
      <c r="F12" s="150"/>
      <c r="G12" s="150">
        <f t="shared" si="2"/>
        <v>1516000</v>
      </c>
      <c r="H12" s="150">
        <v>516000</v>
      </c>
      <c r="I12" s="150">
        <v>1000000</v>
      </c>
      <c r="J12" s="631"/>
      <c r="K12" s="150"/>
      <c r="L12" s="150"/>
      <c r="M12" s="150"/>
      <c r="N12" s="456"/>
    </row>
    <row r="13" spans="1:14" ht="29.25">
      <c r="A13" s="454"/>
      <c r="B13" s="455"/>
      <c r="C13" s="456" t="s">
        <v>105</v>
      </c>
      <c r="D13" s="455" t="s">
        <v>531</v>
      </c>
      <c r="E13" s="452">
        <f t="shared" si="1"/>
        <v>8046000</v>
      </c>
      <c r="F13" s="150"/>
      <c r="G13" s="150">
        <f t="shared" si="2"/>
        <v>8046000</v>
      </c>
      <c r="H13" s="150"/>
      <c r="I13" s="150">
        <v>2886000</v>
      </c>
      <c r="J13" s="150">
        <v>2916000</v>
      </c>
      <c r="K13" s="150">
        <v>2244000</v>
      </c>
      <c r="L13" s="150"/>
      <c r="M13" s="150"/>
      <c r="N13" s="456" t="s">
        <v>106</v>
      </c>
    </row>
    <row r="14" spans="1:14" ht="19.5">
      <c r="A14" s="454"/>
      <c r="B14" s="455"/>
      <c r="C14" s="580" t="s">
        <v>32</v>
      </c>
      <c r="D14" s="455" t="s">
        <v>102</v>
      </c>
      <c r="E14" s="452">
        <f t="shared" si="1"/>
        <v>3000000</v>
      </c>
      <c r="F14" s="150"/>
      <c r="G14" s="150">
        <f t="shared" si="2"/>
        <v>3000000</v>
      </c>
      <c r="H14" s="150">
        <v>100000</v>
      </c>
      <c r="I14" s="150">
        <v>1400000</v>
      </c>
      <c r="J14" s="150">
        <v>1500000</v>
      </c>
      <c r="K14" s="150"/>
      <c r="L14" s="150"/>
      <c r="M14" s="150"/>
      <c r="N14" s="456" t="s">
        <v>107</v>
      </c>
    </row>
    <row r="15" spans="1:14" ht="29.25">
      <c r="A15" s="454"/>
      <c r="B15" s="455"/>
      <c r="C15" s="580" t="s">
        <v>33</v>
      </c>
      <c r="D15" s="455" t="s">
        <v>108</v>
      </c>
      <c r="E15" s="452">
        <f t="shared" si="1"/>
        <v>6000000</v>
      </c>
      <c r="F15" s="150"/>
      <c r="G15" s="150">
        <f t="shared" si="2"/>
        <v>6000000</v>
      </c>
      <c r="H15" s="150">
        <v>330000</v>
      </c>
      <c r="I15" s="150">
        <v>1200000</v>
      </c>
      <c r="J15" s="150">
        <v>2000000</v>
      </c>
      <c r="K15" s="150">
        <v>2470000</v>
      </c>
      <c r="L15" s="150"/>
      <c r="M15" s="150"/>
      <c r="N15" s="456" t="s">
        <v>109</v>
      </c>
    </row>
    <row r="16" spans="1:14" ht="19.5">
      <c r="A16" s="454"/>
      <c r="B16" s="455"/>
      <c r="C16" s="580" t="s">
        <v>34</v>
      </c>
      <c r="D16" s="455" t="s">
        <v>518</v>
      </c>
      <c r="E16" s="452">
        <f t="shared" si="1"/>
        <v>1620000</v>
      </c>
      <c r="F16" s="150"/>
      <c r="G16" s="150">
        <f t="shared" si="2"/>
        <v>1620000</v>
      </c>
      <c r="H16" s="150">
        <v>120000</v>
      </c>
      <c r="I16" s="150">
        <v>600000</v>
      </c>
      <c r="J16" s="150">
        <v>900000</v>
      </c>
      <c r="K16" s="150"/>
      <c r="L16" s="150"/>
      <c r="M16" s="150"/>
      <c r="N16" s="456" t="s">
        <v>110</v>
      </c>
    </row>
    <row r="17" spans="1:14" ht="39">
      <c r="A17" s="454"/>
      <c r="B17" s="455"/>
      <c r="C17" s="580" t="s">
        <v>277</v>
      </c>
      <c r="D17" s="634" t="s">
        <v>111</v>
      </c>
      <c r="E17" s="635">
        <f aca="true" t="shared" si="3" ref="E17:E24">SUM(F17:G17)</f>
        <v>7550000</v>
      </c>
      <c r="F17" s="633"/>
      <c r="G17" s="632">
        <f>SUM(H17:L17)</f>
        <v>7550000</v>
      </c>
      <c r="H17" s="632">
        <v>2750000</v>
      </c>
      <c r="I17" s="632">
        <v>4800000</v>
      </c>
      <c r="J17" s="633"/>
      <c r="K17" s="633"/>
      <c r="L17" s="150"/>
      <c r="M17" s="150"/>
      <c r="N17" s="456"/>
    </row>
    <row r="18" spans="1:14" ht="39">
      <c r="A18" s="448">
        <v>600</v>
      </c>
      <c r="B18" s="449">
        <v>60016</v>
      </c>
      <c r="C18" s="580" t="s">
        <v>213</v>
      </c>
      <c r="D18" s="750" t="s">
        <v>102</v>
      </c>
      <c r="E18" s="635">
        <f t="shared" si="3"/>
        <v>14127000</v>
      </c>
      <c r="F18" s="633"/>
      <c r="G18" s="635">
        <f>SUM(H18:M18)</f>
        <v>14127000</v>
      </c>
      <c r="H18" s="632">
        <f aca="true" t="shared" si="4" ref="H18:M18">SUM(H19:H25)</f>
        <v>2600000</v>
      </c>
      <c r="I18" s="632">
        <f t="shared" si="4"/>
        <v>6157000</v>
      </c>
      <c r="J18" s="632">
        <f t="shared" si="4"/>
        <v>5370000</v>
      </c>
      <c r="K18" s="632">
        <f t="shared" si="4"/>
        <v>0</v>
      </c>
      <c r="L18" s="632">
        <f t="shared" si="4"/>
        <v>0</v>
      </c>
      <c r="M18" s="632">
        <f t="shared" si="4"/>
        <v>0</v>
      </c>
      <c r="N18" s="456"/>
    </row>
    <row r="19" spans="1:14" ht="19.5">
      <c r="A19" s="454"/>
      <c r="B19" s="455"/>
      <c r="C19" s="580" t="s">
        <v>278</v>
      </c>
      <c r="D19" s="634" t="s">
        <v>101</v>
      </c>
      <c r="E19" s="635">
        <f t="shared" si="3"/>
        <v>2800000</v>
      </c>
      <c r="F19" s="633"/>
      <c r="G19" s="632">
        <f aca="true" t="shared" si="5" ref="G19:G24">SUM(H19:L19)</f>
        <v>2800000</v>
      </c>
      <c r="H19" s="632">
        <v>1100000</v>
      </c>
      <c r="I19" s="632">
        <v>1700000</v>
      </c>
      <c r="J19" s="633"/>
      <c r="K19" s="633"/>
      <c r="L19" s="150"/>
      <c r="M19" s="150"/>
      <c r="N19" s="456"/>
    </row>
    <row r="20" spans="1:14" ht="19.5">
      <c r="A20" s="454"/>
      <c r="B20" s="455"/>
      <c r="C20" s="580" t="s">
        <v>279</v>
      </c>
      <c r="D20" s="634" t="s">
        <v>101</v>
      </c>
      <c r="E20" s="635">
        <f t="shared" si="3"/>
        <v>2600000</v>
      </c>
      <c r="F20" s="633"/>
      <c r="G20" s="632">
        <f t="shared" si="5"/>
        <v>2600000</v>
      </c>
      <c r="H20" s="632">
        <v>1100000</v>
      </c>
      <c r="I20" s="632">
        <v>1500000</v>
      </c>
      <c r="J20" s="633"/>
      <c r="K20" s="633"/>
      <c r="L20" s="150"/>
      <c r="M20" s="150"/>
      <c r="N20" s="456"/>
    </row>
    <row r="21" spans="1:14" ht="19.5">
      <c r="A21" s="454"/>
      <c r="B21" s="455"/>
      <c r="C21" s="580" t="s">
        <v>293</v>
      </c>
      <c r="D21" s="634" t="s">
        <v>102</v>
      </c>
      <c r="E21" s="635">
        <f t="shared" si="3"/>
        <v>3867000</v>
      </c>
      <c r="F21" s="633">
        <v>50000</v>
      </c>
      <c r="G21" s="632">
        <f t="shared" si="5"/>
        <v>3817000</v>
      </c>
      <c r="H21" s="632"/>
      <c r="I21" s="632">
        <v>1817000</v>
      </c>
      <c r="J21" s="633">
        <v>2000000</v>
      </c>
      <c r="K21" s="633"/>
      <c r="L21" s="150"/>
      <c r="M21" s="150"/>
      <c r="N21" s="456"/>
    </row>
    <row r="22" spans="1:14" ht="19.5">
      <c r="A22" s="454"/>
      <c r="B22" s="455"/>
      <c r="C22" s="580" t="s">
        <v>280</v>
      </c>
      <c r="D22" s="634" t="s">
        <v>102</v>
      </c>
      <c r="E22" s="635">
        <f t="shared" si="3"/>
        <v>1092000</v>
      </c>
      <c r="F22" s="633">
        <v>22000</v>
      </c>
      <c r="G22" s="632">
        <f t="shared" si="5"/>
        <v>1070000</v>
      </c>
      <c r="H22" s="632"/>
      <c r="I22" s="632"/>
      <c r="J22" s="633">
        <v>1070000</v>
      </c>
      <c r="K22" s="633"/>
      <c r="L22" s="150"/>
      <c r="M22" s="150"/>
      <c r="N22" s="456"/>
    </row>
    <row r="23" spans="1:14" ht="19.5">
      <c r="A23" s="454"/>
      <c r="B23" s="455"/>
      <c r="C23" s="580" t="s">
        <v>281</v>
      </c>
      <c r="D23" s="634" t="s">
        <v>101</v>
      </c>
      <c r="E23" s="635">
        <f t="shared" si="3"/>
        <v>1112000</v>
      </c>
      <c r="F23" s="633">
        <v>22000</v>
      </c>
      <c r="G23" s="632">
        <f t="shared" si="5"/>
        <v>1090000</v>
      </c>
      <c r="H23" s="632">
        <v>250000</v>
      </c>
      <c r="I23" s="632">
        <v>840000</v>
      </c>
      <c r="J23" s="633"/>
      <c r="K23" s="633"/>
      <c r="L23" s="150"/>
      <c r="M23" s="150"/>
      <c r="N23" s="456"/>
    </row>
    <row r="24" spans="1:14" ht="19.5">
      <c r="A24" s="454"/>
      <c r="B24" s="455"/>
      <c r="C24" s="580" t="s">
        <v>282</v>
      </c>
      <c r="D24" s="634" t="s">
        <v>518</v>
      </c>
      <c r="E24" s="635">
        <f t="shared" si="3"/>
        <v>2000000</v>
      </c>
      <c r="F24" s="633"/>
      <c r="G24" s="632">
        <f t="shared" si="5"/>
        <v>2000000</v>
      </c>
      <c r="H24" s="632"/>
      <c r="I24" s="632"/>
      <c r="J24" s="633">
        <v>2000000</v>
      </c>
      <c r="K24" s="633"/>
      <c r="L24" s="150"/>
      <c r="M24" s="150"/>
      <c r="N24" s="456"/>
    </row>
    <row r="25" spans="1:14" ht="39">
      <c r="A25" s="455"/>
      <c r="B25" s="455"/>
      <c r="C25" s="636" t="s">
        <v>283</v>
      </c>
      <c r="D25" s="455" t="s">
        <v>102</v>
      </c>
      <c r="E25" s="452">
        <f t="shared" si="1"/>
        <v>750000</v>
      </c>
      <c r="F25" s="455"/>
      <c r="G25" s="150">
        <f aca="true" t="shared" si="6" ref="G25:G33">SUM(H25:L25)</f>
        <v>750000</v>
      </c>
      <c r="H25" s="150">
        <v>150000</v>
      </c>
      <c r="I25" s="150">
        <v>300000</v>
      </c>
      <c r="J25" s="150">
        <v>300000</v>
      </c>
      <c r="K25" s="150"/>
      <c r="L25" s="455"/>
      <c r="M25" s="455"/>
      <c r="N25" s="455"/>
    </row>
    <row r="26" spans="1:14" ht="27.75" customHeight="1">
      <c r="A26" s="459">
        <v>600</v>
      </c>
      <c r="B26" s="460">
        <v>60016</v>
      </c>
      <c r="C26" s="461" t="s">
        <v>519</v>
      </c>
      <c r="D26" s="460" t="s">
        <v>520</v>
      </c>
      <c r="E26" s="458">
        <f aca="true" t="shared" si="7" ref="E26:E31">SUM(F26:G26)</f>
        <v>4120000</v>
      </c>
      <c r="F26" s="462"/>
      <c r="G26" s="462">
        <f t="shared" si="6"/>
        <v>4120000</v>
      </c>
      <c r="H26" s="462"/>
      <c r="I26" s="462"/>
      <c r="J26" s="462">
        <v>120000</v>
      </c>
      <c r="K26" s="462">
        <v>4000000</v>
      </c>
      <c r="L26" s="462">
        <v>0</v>
      </c>
      <c r="M26" s="462"/>
      <c r="N26" s="453" t="s">
        <v>514</v>
      </c>
    </row>
    <row r="27" spans="1:14" ht="33.75">
      <c r="A27" s="462">
        <v>600</v>
      </c>
      <c r="B27" s="460">
        <v>60016</v>
      </c>
      <c r="C27" s="461" t="s">
        <v>35</v>
      </c>
      <c r="D27" s="460" t="s">
        <v>102</v>
      </c>
      <c r="E27" s="458">
        <f t="shared" si="7"/>
        <v>3100000</v>
      </c>
      <c r="F27" s="462"/>
      <c r="G27" s="462">
        <f t="shared" si="6"/>
        <v>3100000</v>
      </c>
      <c r="H27" s="462">
        <v>155000</v>
      </c>
      <c r="I27" s="462">
        <v>2000000</v>
      </c>
      <c r="J27" s="462">
        <v>945000</v>
      </c>
      <c r="K27" s="462"/>
      <c r="L27" s="462">
        <v>0</v>
      </c>
      <c r="M27" s="462"/>
      <c r="N27" s="453" t="s">
        <v>112</v>
      </c>
    </row>
    <row r="28" spans="1:14" ht="42">
      <c r="A28" s="460">
        <v>600</v>
      </c>
      <c r="B28" s="460">
        <v>60016</v>
      </c>
      <c r="C28" s="461" t="s">
        <v>36</v>
      </c>
      <c r="D28" s="460" t="s">
        <v>102</v>
      </c>
      <c r="E28" s="458">
        <f t="shared" si="7"/>
        <v>4480000</v>
      </c>
      <c r="F28" s="462"/>
      <c r="G28" s="462">
        <f t="shared" si="6"/>
        <v>4480000</v>
      </c>
      <c r="H28" s="462">
        <v>80000</v>
      </c>
      <c r="I28" s="462">
        <v>2400000</v>
      </c>
      <c r="J28" s="462">
        <v>2000000</v>
      </c>
      <c r="K28" s="462"/>
      <c r="L28" s="462">
        <v>0</v>
      </c>
      <c r="M28" s="462"/>
      <c r="N28" s="453" t="s">
        <v>113</v>
      </c>
    </row>
    <row r="29" spans="1:14" ht="33.75">
      <c r="A29" s="460">
        <v>600</v>
      </c>
      <c r="B29" s="460">
        <v>60016</v>
      </c>
      <c r="C29" s="461" t="s">
        <v>521</v>
      </c>
      <c r="D29" s="460" t="s">
        <v>102</v>
      </c>
      <c r="E29" s="458">
        <f t="shared" si="7"/>
        <v>2200000</v>
      </c>
      <c r="F29" s="462"/>
      <c r="G29" s="462">
        <f t="shared" si="6"/>
        <v>2200000</v>
      </c>
      <c r="H29" s="462">
        <v>60000</v>
      </c>
      <c r="I29" s="462">
        <v>1440000</v>
      </c>
      <c r="J29" s="462">
        <v>700000</v>
      </c>
      <c r="K29" s="462"/>
      <c r="L29" s="462">
        <v>0</v>
      </c>
      <c r="M29" s="462"/>
      <c r="N29" s="453" t="s">
        <v>114</v>
      </c>
    </row>
    <row r="30" spans="1:14" ht="25.5">
      <c r="A30" s="460">
        <v>750</v>
      </c>
      <c r="B30" s="460">
        <v>75023</v>
      </c>
      <c r="C30" s="461" t="s">
        <v>37</v>
      </c>
      <c r="D30" s="460" t="s">
        <v>104</v>
      </c>
      <c r="E30" s="458">
        <f t="shared" si="7"/>
        <v>42915</v>
      </c>
      <c r="F30" s="462"/>
      <c r="G30" s="462">
        <f t="shared" si="6"/>
        <v>42915</v>
      </c>
      <c r="H30" s="462">
        <v>12840</v>
      </c>
      <c r="I30" s="462">
        <v>30075</v>
      </c>
      <c r="J30" s="462"/>
      <c r="K30" s="462"/>
      <c r="L30" s="462">
        <v>0</v>
      </c>
      <c r="M30" s="462"/>
      <c r="N30" s="453" t="s">
        <v>514</v>
      </c>
    </row>
    <row r="31" spans="1:14" ht="33.75">
      <c r="A31" s="637">
        <v>801</v>
      </c>
      <c r="B31" s="637">
        <v>80101</v>
      </c>
      <c r="C31" s="364" t="s">
        <v>159</v>
      </c>
      <c r="D31" s="637" t="s">
        <v>530</v>
      </c>
      <c r="E31" s="711">
        <f t="shared" si="7"/>
        <v>1840589.6</v>
      </c>
      <c r="F31" s="712">
        <v>70271.6</v>
      </c>
      <c r="G31" s="713">
        <f t="shared" si="6"/>
        <v>1770318</v>
      </c>
      <c r="H31" s="712">
        <v>1770318</v>
      </c>
      <c r="I31" s="712"/>
      <c r="J31" s="712"/>
      <c r="K31" s="712"/>
      <c r="L31" s="712">
        <v>0</v>
      </c>
      <c r="M31" s="638"/>
      <c r="N31" s="453" t="s">
        <v>115</v>
      </c>
    </row>
    <row r="32" spans="1:14" ht="12.75">
      <c r="A32" s="637"/>
      <c r="B32" s="637"/>
      <c r="C32" s="647" t="s">
        <v>120</v>
      </c>
      <c r="D32" s="637"/>
      <c r="E32" s="711">
        <f>SUM(F32:G32)</f>
        <v>277011.37</v>
      </c>
      <c r="F32" s="712">
        <v>11463.67</v>
      </c>
      <c r="G32" s="713">
        <f t="shared" si="6"/>
        <v>265547.7</v>
      </c>
      <c r="H32" s="712">
        <v>265547.7</v>
      </c>
      <c r="I32" s="712"/>
      <c r="J32" s="712"/>
      <c r="K32" s="712"/>
      <c r="L32" s="712"/>
      <c r="M32" s="638"/>
      <c r="N32" s="453"/>
    </row>
    <row r="33" spans="1:14" ht="12.75">
      <c r="A33" s="637"/>
      <c r="B33" s="637"/>
      <c r="C33" s="647" t="s">
        <v>121</v>
      </c>
      <c r="D33" s="637"/>
      <c r="E33" s="711">
        <f>SUM(F33:G33)</f>
        <v>1563578.23</v>
      </c>
      <c r="F33" s="712">
        <v>58807.93</v>
      </c>
      <c r="G33" s="713">
        <f t="shared" si="6"/>
        <v>1504770.3</v>
      </c>
      <c r="H33" s="712">
        <v>1504770.3</v>
      </c>
      <c r="I33" s="712"/>
      <c r="J33" s="712"/>
      <c r="K33" s="712"/>
      <c r="L33" s="712"/>
      <c r="M33" s="638"/>
      <c r="N33" s="453"/>
    </row>
    <row r="34" spans="1:14" ht="18.75">
      <c r="A34" s="459">
        <v>900</v>
      </c>
      <c r="B34" s="639">
        <v>90001</v>
      </c>
      <c r="C34" s="461" t="s">
        <v>39</v>
      </c>
      <c r="D34" s="460" t="s">
        <v>116</v>
      </c>
      <c r="E34" s="462">
        <f>E35+E36+E37+E38</f>
        <v>77952315</v>
      </c>
      <c r="F34" s="462">
        <f aca="true" t="shared" si="8" ref="F34:M34">F35+F36+F37+F38</f>
        <v>939007</v>
      </c>
      <c r="G34" s="462">
        <f t="shared" si="8"/>
        <v>77013308</v>
      </c>
      <c r="H34" s="462">
        <f t="shared" si="8"/>
        <v>588000</v>
      </c>
      <c r="I34" s="462">
        <f t="shared" si="8"/>
        <v>24800000</v>
      </c>
      <c r="J34" s="462">
        <f t="shared" si="8"/>
        <v>25993933</v>
      </c>
      <c r="K34" s="462">
        <f t="shared" si="8"/>
        <v>25631375</v>
      </c>
      <c r="L34" s="462">
        <f t="shared" si="8"/>
        <v>0</v>
      </c>
      <c r="M34" s="462">
        <f t="shared" si="8"/>
        <v>0</v>
      </c>
      <c r="N34" s="453"/>
    </row>
    <row r="35" spans="1:14" ht="12.75">
      <c r="A35" s="454"/>
      <c r="B35" s="455"/>
      <c r="C35" s="456" t="s">
        <v>285</v>
      </c>
      <c r="D35" s="455" t="s">
        <v>116</v>
      </c>
      <c r="E35" s="150">
        <f>F35+G35</f>
        <v>66377864</v>
      </c>
      <c r="F35" s="150">
        <v>808489</v>
      </c>
      <c r="G35" s="150">
        <f>SUM(H35:L35)</f>
        <v>65569375</v>
      </c>
      <c r="H35" s="150">
        <v>368000</v>
      </c>
      <c r="I35" s="150">
        <v>20000000</v>
      </c>
      <c r="J35" s="150">
        <v>20000000</v>
      </c>
      <c r="K35" s="150">
        <v>25201375</v>
      </c>
      <c r="L35" s="150"/>
      <c r="M35" s="150"/>
      <c r="N35" s="456"/>
    </row>
    <row r="36" spans="1:14" ht="12.75">
      <c r="A36" s="454"/>
      <c r="B36" s="455"/>
      <c r="C36" s="455" t="s">
        <v>40</v>
      </c>
      <c r="D36" s="455" t="s">
        <v>48</v>
      </c>
      <c r="E36" s="150">
        <f>F36+G36</f>
        <v>2625197</v>
      </c>
      <c r="F36" s="150">
        <v>75518</v>
      </c>
      <c r="G36" s="150">
        <f>SUM(H36:L36)</f>
        <v>2549679</v>
      </c>
      <c r="H36" s="150">
        <v>100000</v>
      </c>
      <c r="I36" s="150">
        <v>1000000</v>
      </c>
      <c r="J36" s="150">
        <v>1449679</v>
      </c>
      <c r="K36" s="150"/>
      <c r="L36" s="150"/>
      <c r="M36" s="150"/>
      <c r="N36" s="456"/>
    </row>
    <row r="37" spans="1:14" ht="12.75">
      <c r="A37" s="454"/>
      <c r="B37" s="455"/>
      <c r="C37" s="455" t="s">
        <v>41</v>
      </c>
      <c r="D37" s="455" t="s">
        <v>49</v>
      </c>
      <c r="E37" s="150">
        <f>F37+G37</f>
        <v>6899254</v>
      </c>
      <c r="F37" s="150">
        <v>55000</v>
      </c>
      <c r="G37" s="150">
        <f>SUM(H37:L37)</f>
        <v>6844254</v>
      </c>
      <c r="H37" s="150">
        <v>100000</v>
      </c>
      <c r="I37" s="150">
        <v>3000000</v>
      </c>
      <c r="J37" s="150">
        <v>3744254</v>
      </c>
      <c r="K37" s="150"/>
      <c r="L37" s="150"/>
      <c r="M37" s="150"/>
      <c r="N37" s="456"/>
    </row>
    <row r="38" spans="1:14" ht="19.5">
      <c r="A38" s="454"/>
      <c r="B38" s="455"/>
      <c r="C38" s="456" t="s">
        <v>42</v>
      </c>
      <c r="D38" s="455" t="s">
        <v>117</v>
      </c>
      <c r="E38" s="150">
        <f>F38+G38</f>
        <v>2050000</v>
      </c>
      <c r="F38" s="150"/>
      <c r="G38" s="150">
        <f>SUM(H38:L38)</f>
        <v>2050000</v>
      </c>
      <c r="H38" s="150">
        <v>20000</v>
      </c>
      <c r="I38" s="150">
        <v>800000</v>
      </c>
      <c r="J38" s="150">
        <v>800000</v>
      </c>
      <c r="K38" s="150">
        <v>430000</v>
      </c>
      <c r="L38" s="150"/>
      <c r="M38" s="150"/>
      <c r="N38" s="456"/>
    </row>
    <row r="39" spans="1:14" ht="18.75">
      <c r="A39" s="459">
        <v>900</v>
      </c>
      <c r="B39" s="639">
        <v>90001</v>
      </c>
      <c r="C39" s="461" t="s">
        <v>43</v>
      </c>
      <c r="D39" s="460" t="s">
        <v>47</v>
      </c>
      <c r="E39" s="462">
        <f aca="true" t="shared" si="9" ref="E39:M39">SUM(E40:E44)</f>
        <v>97345963</v>
      </c>
      <c r="F39" s="462">
        <f t="shared" si="9"/>
        <v>0</v>
      </c>
      <c r="G39" s="462">
        <f t="shared" si="9"/>
        <v>97345963</v>
      </c>
      <c r="H39" s="462">
        <f t="shared" si="9"/>
        <v>817000</v>
      </c>
      <c r="I39" s="462">
        <f t="shared" si="9"/>
        <v>2000000</v>
      </c>
      <c r="J39" s="462">
        <f t="shared" si="9"/>
        <v>14000000</v>
      </c>
      <c r="K39" s="462">
        <f t="shared" si="9"/>
        <v>28464886</v>
      </c>
      <c r="L39" s="462">
        <f t="shared" si="9"/>
        <v>25164431</v>
      </c>
      <c r="M39" s="462">
        <f t="shared" si="9"/>
        <v>26899646</v>
      </c>
      <c r="N39" s="453"/>
    </row>
    <row r="40" spans="1:14" ht="16.5" customHeight="1">
      <c r="A40" s="454"/>
      <c r="B40" s="455"/>
      <c r="C40" s="455" t="s">
        <v>286</v>
      </c>
      <c r="D40" s="460" t="s">
        <v>116</v>
      </c>
      <c r="E40" s="150">
        <f>F40+G40</f>
        <v>8105201</v>
      </c>
      <c r="F40" s="150"/>
      <c r="G40" s="150">
        <f>SUM(H40:M40)</f>
        <v>8105201</v>
      </c>
      <c r="H40" s="150">
        <v>56000</v>
      </c>
      <c r="I40" s="150">
        <v>2000000</v>
      </c>
      <c r="J40" s="150">
        <v>2000000</v>
      </c>
      <c r="K40" s="150">
        <v>4049201</v>
      </c>
      <c r="L40" s="150"/>
      <c r="M40" s="150"/>
      <c r="N40" s="456"/>
    </row>
    <row r="41" spans="1:14" ht="19.5">
      <c r="A41" s="640"/>
      <c r="B41" s="639"/>
      <c r="C41" s="456" t="s">
        <v>287</v>
      </c>
      <c r="D41" s="460" t="s">
        <v>520</v>
      </c>
      <c r="E41" s="150">
        <f>F41+G41</f>
        <v>24591104</v>
      </c>
      <c r="F41" s="463"/>
      <c r="G41" s="150">
        <f>SUM(H41:M41)</f>
        <v>24591104</v>
      </c>
      <c r="H41" s="463">
        <v>206000</v>
      </c>
      <c r="I41" s="463"/>
      <c r="J41" s="463">
        <v>12000000</v>
      </c>
      <c r="K41" s="463">
        <v>12385104</v>
      </c>
      <c r="L41" s="463"/>
      <c r="M41" s="463"/>
      <c r="N41" s="466"/>
    </row>
    <row r="42" spans="1:14" ht="19.5">
      <c r="A42" s="640"/>
      <c r="B42" s="639"/>
      <c r="C42" s="466" t="s">
        <v>288</v>
      </c>
      <c r="D42" s="460" t="s">
        <v>118</v>
      </c>
      <c r="E42" s="150">
        <f>F42+G42</f>
        <v>24233581</v>
      </c>
      <c r="F42" s="463"/>
      <c r="G42" s="150">
        <f>SUM(H42:M42)</f>
        <v>24233581</v>
      </c>
      <c r="H42" s="463">
        <v>203000</v>
      </c>
      <c r="I42" s="463"/>
      <c r="J42" s="463"/>
      <c r="K42" s="463">
        <v>12030581</v>
      </c>
      <c r="L42" s="463">
        <v>12000000</v>
      </c>
      <c r="M42" s="463"/>
      <c r="N42" s="466"/>
    </row>
    <row r="43" spans="1:14" ht="19.5">
      <c r="A43" s="640"/>
      <c r="B43" s="639"/>
      <c r="C43" s="466" t="s">
        <v>289</v>
      </c>
      <c r="D43" s="460" t="s">
        <v>119</v>
      </c>
      <c r="E43" s="150">
        <f>F43+G43</f>
        <v>27389431</v>
      </c>
      <c r="F43" s="463"/>
      <c r="G43" s="150">
        <f>SUM(H43:M43)</f>
        <v>27389431</v>
      </c>
      <c r="H43" s="463">
        <v>225000</v>
      </c>
      <c r="I43" s="463"/>
      <c r="J43" s="463"/>
      <c r="K43" s="463"/>
      <c r="L43" s="463">
        <v>13164431</v>
      </c>
      <c r="M43" s="463">
        <v>14000000</v>
      </c>
      <c r="N43" s="466"/>
    </row>
    <row r="44" spans="1:14" ht="19.5">
      <c r="A44" s="464"/>
      <c r="B44" s="639"/>
      <c r="C44" s="466" t="s">
        <v>290</v>
      </c>
      <c r="D44" s="460" t="s">
        <v>50</v>
      </c>
      <c r="E44" s="150">
        <f>F44+G44</f>
        <v>13026646</v>
      </c>
      <c r="F44" s="463"/>
      <c r="G44" s="150">
        <f>SUM(H44:M44)</f>
        <v>13026646</v>
      </c>
      <c r="H44" s="463">
        <v>127000</v>
      </c>
      <c r="I44" s="463"/>
      <c r="J44" s="463"/>
      <c r="K44" s="463"/>
      <c r="L44" s="463"/>
      <c r="M44" s="463">
        <v>12899646</v>
      </c>
      <c r="N44" s="466"/>
    </row>
    <row r="45" spans="1:14" ht="45">
      <c r="A45" s="641">
        <v>900</v>
      </c>
      <c r="B45" s="642">
        <v>90001</v>
      </c>
      <c r="C45" s="643" t="s">
        <v>45</v>
      </c>
      <c r="D45" s="644" t="s">
        <v>108</v>
      </c>
      <c r="E45" s="714">
        <f>SUM(F45:G45)</f>
        <v>13448753.329999998</v>
      </c>
      <c r="F45" s="714">
        <f>SUM(F46:F47)</f>
        <v>134603</v>
      </c>
      <c r="G45" s="714">
        <f>SUM(H45:L45)</f>
        <v>13314150.329999998</v>
      </c>
      <c r="H45" s="714">
        <f>SUM(H46:H47)</f>
        <v>2947596.53</v>
      </c>
      <c r="I45" s="714">
        <v>3500000</v>
      </c>
      <c r="J45" s="714">
        <v>3500000</v>
      </c>
      <c r="K45" s="714">
        <f>SUM(K46:K47)</f>
        <v>3366553.8</v>
      </c>
      <c r="L45" s="715">
        <v>0</v>
      </c>
      <c r="M45" s="715"/>
      <c r="N45" s="453" t="s">
        <v>514</v>
      </c>
    </row>
    <row r="46" spans="1:14" ht="12.75">
      <c r="A46" s="645"/>
      <c r="B46" s="646"/>
      <c r="C46" s="647" t="s">
        <v>120</v>
      </c>
      <c r="D46" s="648"/>
      <c r="E46" s="716"/>
      <c r="F46" s="716">
        <v>20190.45</v>
      </c>
      <c r="G46" s="716"/>
      <c r="H46" s="716">
        <v>442139.48</v>
      </c>
      <c r="I46" s="716">
        <v>525000</v>
      </c>
      <c r="J46" s="716">
        <v>525000</v>
      </c>
      <c r="K46" s="716">
        <v>2085004.02</v>
      </c>
      <c r="L46" s="715"/>
      <c r="M46" s="715"/>
      <c r="N46" s="649"/>
    </row>
    <row r="47" spans="1:14" ht="12.75">
      <c r="A47" s="645"/>
      <c r="B47" s="646"/>
      <c r="C47" s="647" t="s">
        <v>121</v>
      </c>
      <c r="D47" s="648"/>
      <c r="E47" s="716"/>
      <c r="F47" s="716">
        <v>114412.55</v>
      </c>
      <c r="G47" s="716"/>
      <c r="H47" s="716">
        <v>2505457.05</v>
      </c>
      <c r="I47" s="716">
        <v>2975000</v>
      </c>
      <c r="J47" s="716">
        <v>2975000</v>
      </c>
      <c r="K47" s="716">
        <v>1281549.78</v>
      </c>
      <c r="L47" s="715"/>
      <c r="M47" s="715"/>
      <c r="N47" s="649"/>
    </row>
    <row r="48" spans="1:14" ht="78">
      <c r="A48" s="460">
        <v>900</v>
      </c>
      <c r="B48" s="460">
        <v>90095</v>
      </c>
      <c r="C48" s="461" t="s">
        <v>122</v>
      </c>
      <c r="D48" s="467" t="s">
        <v>516</v>
      </c>
      <c r="E48" s="462">
        <f>SUM(F48:G48)</f>
        <v>26107000</v>
      </c>
      <c r="F48" s="462">
        <v>540000</v>
      </c>
      <c r="G48" s="462">
        <f>SUM(H48:L48)</f>
        <v>25567000</v>
      </c>
      <c r="H48" s="462">
        <v>5113400</v>
      </c>
      <c r="I48" s="462">
        <v>15340200</v>
      </c>
      <c r="J48" s="462">
        <v>5113400</v>
      </c>
      <c r="K48" s="462">
        <v>0</v>
      </c>
      <c r="L48" s="462"/>
      <c r="M48" s="462"/>
      <c r="N48" s="456" t="s">
        <v>123</v>
      </c>
    </row>
    <row r="49" spans="1:14" ht="50.25">
      <c r="A49" s="460">
        <v>900</v>
      </c>
      <c r="B49" s="460">
        <v>90095</v>
      </c>
      <c r="C49" s="461" t="s">
        <v>124</v>
      </c>
      <c r="D49" s="460" t="s">
        <v>51</v>
      </c>
      <c r="E49" s="462">
        <f>SUM(F49:G49)</f>
        <v>8488405</v>
      </c>
      <c r="F49" s="462">
        <v>188405</v>
      </c>
      <c r="G49" s="462">
        <f>SUM(H49:L49)</f>
        <v>8300000</v>
      </c>
      <c r="H49" s="462">
        <v>5903800</v>
      </c>
      <c r="I49" s="462">
        <v>2396200</v>
      </c>
      <c r="J49" s="462"/>
      <c r="K49" s="462"/>
      <c r="L49" s="462"/>
      <c r="M49" s="462"/>
      <c r="N49" s="453" t="s">
        <v>353</v>
      </c>
    </row>
    <row r="50" spans="1:14" ht="36.75">
      <c r="A50" s="460">
        <v>900</v>
      </c>
      <c r="B50" s="460">
        <v>90095</v>
      </c>
      <c r="C50" s="461" t="s">
        <v>522</v>
      </c>
      <c r="D50" s="460" t="s">
        <v>48</v>
      </c>
      <c r="E50" s="462">
        <f>SUM(F50:G50)</f>
        <v>8300000</v>
      </c>
      <c r="F50" s="462"/>
      <c r="G50" s="462">
        <f>SUM(H50:L50)</f>
        <v>8300000</v>
      </c>
      <c r="H50" s="462">
        <v>300000</v>
      </c>
      <c r="I50" s="462">
        <v>4000000</v>
      </c>
      <c r="J50" s="462">
        <v>4000000</v>
      </c>
      <c r="K50" s="462"/>
      <c r="L50" s="462"/>
      <c r="M50" s="462"/>
      <c r="N50" s="453" t="s">
        <v>514</v>
      </c>
    </row>
    <row r="51" spans="1:14" ht="29.25">
      <c r="A51" s="650">
        <v>900</v>
      </c>
      <c r="B51" s="651">
        <v>90095</v>
      </c>
      <c r="C51" s="580" t="s">
        <v>125</v>
      </c>
      <c r="D51" s="460" t="s">
        <v>530</v>
      </c>
      <c r="E51" s="462">
        <f>SUM(F51:G51)</f>
        <v>384160</v>
      </c>
      <c r="F51" s="462">
        <v>34160</v>
      </c>
      <c r="G51" s="462">
        <f>SUM(H51:L51)</f>
        <v>350000</v>
      </c>
      <c r="H51" s="462">
        <v>350000</v>
      </c>
      <c r="I51" s="462"/>
      <c r="J51" s="462"/>
      <c r="K51" s="462"/>
      <c r="L51" s="462"/>
      <c r="M51" s="462"/>
      <c r="N51" s="453" t="s">
        <v>514</v>
      </c>
    </row>
    <row r="52" spans="1:14" ht="33.75">
      <c r="A52" s="650">
        <v>900</v>
      </c>
      <c r="B52" s="652">
        <v>90095</v>
      </c>
      <c r="C52" s="653" t="s">
        <v>126</v>
      </c>
      <c r="D52" s="460" t="s">
        <v>127</v>
      </c>
      <c r="E52" s="462">
        <f>SUM(F52:G52)</f>
        <v>10000000</v>
      </c>
      <c r="F52" s="462">
        <v>40000</v>
      </c>
      <c r="G52" s="462">
        <f>SUM(H52:M52)</f>
        <v>9960000</v>
      </c>
      <c r="H52" s="462"/>
      <c r="I52" s="462">
        <v>500000</v>
      </c>
      <c r="J52" s="462">
        <v>2000000</v>
      </c>
      <c r="K52" s="462">
        <v>2000000</v>
      </c>
      <c r="L52" s="462">
        <v>2000000</v>
      </c>
      <c r="M52" s="462">
        <v>3460000</v>
      </c>
      <c r="N52" s="453" t="s">
        <v>128</v>
      </c>
    </row>
    <row r="53" spans="1:14" ht="25.5">
      <c r="A53" s="637">
        <v>921</v>
      </c>
      <c r="B53" s="637">
        <v>92109</v>
      </c>
      <c r="C53" s="460" t="s">
        <v>497</v>
      </c>
      <c r="D53" s="460" t="s">
        <v>51</v>
      </c>
      <c r="E53" s="462">
        <f>SUM(E54)+SUM(E55:E59)</f>
        <v>6250070</v>
      </c>
      <c r="F53" s="462">
        <f aca="true" t="shared" si="10" ref="F53:M53">SUM(F54)+SUM(F55:F59)</f>
        <v>133957</v>
      </c>
      <c r="G53" s="462">
        <f t="shared" si="10"/>
        <v>6116113</v>
      </c>
      <c r="H53" s="462">
        <f t="shared" si="10"/>
        <v>1281055</v>
      </c>
      <c r="I53" s="462">
        <f t="shared" si="10"/>
        <v>4835058</v>
      </c>
      <c r="J53" s="462">
        <f t="shared" si="10"/>
        <v>0</v>
      </c>
      <c r="K53" s="462">
        <f t="shared" si="10"/>
        <v>0</v>
      </c>
      <c r="L53" s="462">
        <f t="shared" si="10"/>
        <v>0</v>
      </c>
      <c r="M53" s="462">
        <f t="shared" si="10"/>
        <v>0</v>
      </c>
      <c r="N53" s="453" t="s">
        <v>514</v>
      </c>
    </row>
    <row r="54" spans="1:14" ht="12.75">
      <c r="A54" s="455"/>
      <c r="B54" s="455"/>
      <c r="C54" s="455" t="s">
        <v>523</v>
      </c>
      <c r="D54" s="455" t="s">
        <v>411</v>
      </c>
      <c r="E54" s="462">
        <f aca="true" t="shared" si="11" ref="E54:E66">SUM(F54:G54)</f>
        <v>308351</v>
      </c>
      <c r="F54" s="150">
        <v>10000</v>
      </c>
      <c r="G54" s="462">
        <f aca="true" t="shared" si="12" ref="G54:G60">SUM(H54:L54)</f>
        <v>298351</v>
      </c>
      <c r="H54" s="150">
        <v>298351</v>
      </c>
      <c r="I54" s="150"/>
      <c r="J54" s="150"/>
      <c r="K54" s="150"/>
      <c r="L54" s="150"/>
      <c r="M54" s="150"/>
      <c r="N54" s="453"/>
    </row>
    <row r="55" spans="1:14" ht="12.75">
      <c r="A55" s="455"/>
      <c r="B55" s="455"/>
      <c r="C55" s="455" t="s">
        <v>524</v>
      </c>
      <c r="D55" s="455" t="s">
        <v>411</v>
      </c>
      <c r="E55" s="462">
        <f t="shared" si="11"/>
        <v>488439</v>
      </c>
      <c r="F55" s="150">
        <v>17957</v>
      </c>
      <c r="G55" s="462">
        <f t="shared" si="12"/>
        <v>470482</v>
      </c>
      <c r="H55" s="150">
        <v>470482</v>
      </c>
      <c r="I55" s="150"/>
      <c r="J55" s="150"/>
      <c r="K55" s="150"/>
      <c r="L55" s="150"/>
      <c r="M55" s="150"/>
      <c r="N55" s="455"/>
    </row>
    <row r="56" spans="1:14" ht="12.75">
      <c r="A56" s="455"/>
      <c r="B56" s="455"/>
      <c r="C56" s="455" t="s">
        <v>525</v>
      </c>
      <c r="D56" s="455" t="s">
        <v>515</v>
      </c>
      <c r="E56" s="462">
        <f t="shared" si="11"/>
        <v>3174058</v>
      </c>
      <c r="F56" s="150">
        <v>39000</v>
      </c>
      <c r="G56" s="462">
        <f t="shared" si="12"/>
        <v>3135058</v>
      </c>
      <c r="H56" s="150"/>
      <c r="I56" s="150">
        <v>3135058</v>
      </c>
      <c r="J56" s="150"/>
      <c r="K56" s="150"/>
      <c r="L56" s="150"/>
      <c r="M56" s="150"/>
      <c r="N56" s="455"/>
    </row>
    <row r="57" spans="1:14" ht="12.75">
      <c r="A57" s="455"/>
      <c r="B57" s="455"/>
      <c r="C57" s="455" t="s">
        <v>526</v>
      </c>
      <c r="D57" s="455" t="s">
        <v>515</v>
      </c>
      <c r="E57" s="462">
        <f t="shared" si="11"/>
        <v>1749000</v>
      </c>
      <c r="F57" s="150">
        <v>49000</v>
      </c>
      <c r="G57" s="462">
        <f t="shared" si="12"/>
        <v>1700000</v>
      </c>
      <c r="H57" s="150"/>
      <c r="I57" s="150">
        <v>1700000</v>
      </c>
      <c r="J57" s="150"/>
      <c r="K57" s="150" t="s">
        <v>197</v>
      </c>
      <c r="L57" s="150"/>
      <c r="M57" s="150"/>
      <c r="N57" s="455"/>
    </row>
    <row r="58" spans="1:14" ht="12.75">
      <c r="A58" s="455"/>
      <c r="B58" s="455"/>
      <c r="C58" s="455" t="s">
        <v>129</v>
      </c>
      <c r="D58" s="149">
        <v>2009</v>
      </c>
      <c r="E58" s="462">
        <f t="shared" si="11"/>
        <v>492222</v>
      </c>
      <c r="F58" s="150"/>
      <c r="G58" s="462">
        <f t="shared" si="12"/>
        <v>492222</v>
      </c>
      <c r="H58" s="150">
        <v>492222</v>
      </c>
      <c r="I58" s="150"/>
      <c r="J58" s="150"/>
      <c r="K58" s="150"/>
      <c r="L58" s="150"/>
      <c r="M58" s="150"/>
      <c r="N58" s="455"/>
    </row>
    <row r="59" spans="1:14" ht="19.5">
      <c r="A59" s="104"/>
      <c r="B59" s="104"/>
      <c r="C59" s="456" t="s">
        <v>130</v>
      </c>
      <c r="D59" s="149" t="s">
        <v>530</v>
      </c>
      <c r="E59" s="462">
        <f t="shared" si="11"/>
        <v>38000</v>
      </c>
      <c r="F59" s="150">
        <v>18000</v>
      </c>
      <c r="G59" s="462">
        <f t="shared" si="12"/>
        <v>20000</v>
      </c>
      <c r="H59" s="150">
        <v>20000</v>
      </c>
      <c r="I59" s="150"/>
      <c r="J59" s="150"/>
      <c r="K59" s="150"/>
      <c r="L59" s="150"/>
      <c r="M59" s="150"/>
      <c r="N59" s="455"/>
    </row>
    <row r="60" spans="1:14" ht="25.5">
      <c r="A60" s="460">
        <v>921</v>
      </c>
      <c r="B60" s="460">
        <v>92109</v>
      </c>
      <c r="C60" s="461" t="s">
        <v>131</v>
      </c>
      <c r="D60" s="460" t="s">
        <v>530</v>
      </c>
      <c r="E60" s="462">
        <f>SUM(F60:G60)</f>
        <v>3072379</v>
      </c>
      <c r="F60" s="462">
        <v>572711</v>
      </c>
      <c r="G60" s="462">
        <f t="shared" si="12"/>
        <v>2499668</v>
      </c>
      <c r="H60" s="462">
        <v>2499668</v>
      </c>
      <c r="I60" s="462"/>
      <c r="J60" s="462"/>
      <c r="K60" s="462"/>
      <c r="L60" s="462"/>
      <c r="M60" s="462"/>
      <c r="N60" s="453" t="s">
        <v>514</v>
      </c>
    </row>
    <row r="61" spans="1:14" ht="12.75">
      <c r="A61" s="460">
        <v>926</v>
      </c>
      <c r="B61" s="460">
        <v>92605</v>
      </c>
      <c r="C61" s="460" t="s">
        <v>499</v>
      </c>
      <c r="D61" s="460" t="s">
        <v>515</v>
      </c>
      <c r="E61" s="462">
        <f>SUM(E62:E66)</f>
        <v>10117904</v>
      </c>
      <c r="F61" s="462">
        <f>SUM(F62:F66)</f>
        <v>55802</v>
      </c>
      <c r="G61" s="462">
        <f>SUM(G62:G66)</f>
        <v>10062102</v>
      </c>
      <c r="H61" s="462">
        <f>SUM(H62:H66)</f>
        <v>35000</v>
      </c>
      <c r="I61" s="462">
        <f>SUM(I62:I65)</f>
        <v>10027102</v>
      </c>
      <c r="J61" s="462">
        <f>SUM(J62:J65)</f>
        <v>0</v>
      </c>
      <c r="K61" s="462">
        <f>SUM(K62:K65)</f>
        <v>0</v>
      </c>
      <c r="L61" s="462">
        <f>SUM(L62:L65)</f>
        <v>0</v>
      </c>
      <c r="M61" s="462"/>
      <c r="N61" s="455"/>
    </row>
    <row r="62" spans="1:14" ht="12.75">
      <c r="A62" s="455"/>
      <c r="B62" s="455"/>
      <c r="C62" s="455" t="s">
        <v>500</v>
      </c>
      <c r="D62" s="455" t="s">
        <v>104</v>
      </c>
      <c r="E62" s="462">
        <f t="shared" si="11"/>
        <v>2020000</v>
      </c>
      <c r="F62" s="150"/>
      <c r="G62" s="462">
        <f aca="true" t="shared" si="13" ref="G62:G67">SUM(H62:L62)</f>
        <v>2020000</v>
      </c>
      <c r="H62" s="150">
        <v>20000</v>
      </c>
      <c r="I62" s="150">
        <v>2000000</v>
      </c>
      <c r="J62" s="150"/>
      <c r="K62" s="150"/>
      <c r="L62" s="150"/>
      <c r="M62" s="150"/>
      <c r="N62" s="455" t="s">
        <v>132</v>
      </c>
    </row>
    <row r="63" spans="1:14" ht="12.75">
      <c r="A63" s="455"/>
      <c r="B63" s="455"/>
      <c r="C63" s="455" t="s">
        <v>527</v>
      </c>
      <c r="D63" s="455" t="s">
        <v>52</v>
      </c>
      <c r="E63" s="462">
        <f t="shared" si="11"/>
        <v>2335556</v>
      </c>
      <c r="F63" s="150">
        <v>18856</v>
      </c>
      <c r="G63" s="462">
        <f t="shared" si="13"/>
        <v>2316700</v>
      </c>
      <c r="H63" s="150"/>
      <c r="I63" s="150">
        <v>2316700</v>
      </c>
      <c r="J63" s="150"/>
      <c r="K63" s="150"/>
      <c r="L63" s="150"/>
      <c r="M63" s="150"/>
      <c r="N63" s="455"/>
    </row>
    <row r="64" spans="1:14" ht="12.75">
      <c r="A64" s="455"/>
      <c r="B64" s="455"/>
      <c r="C64" s="455" t="s">
        <v>528</v>
      </c>
      <c r="D64" s="455" t="s">
        <v>52</v>
      </c>
      <c r="E64" s="462">
        <f t="shared" si="11"/>
        <v>2727548</v>
      </c>
      <c r="F64" s="150">
        <v>17146</v>
      </c>
      <c r="G64" s="462">
        <f t="shared" si="13"/>
        <v>2710402</v>
      </c>
      <c r="H64" s="150"/>
      <c r="I64" s="150">
        <v>2710402</v>
      </c>
      <c r="J64" s="150"/>
      <c r="K64" s="150"/>
      <c r="L64" s="150"/>
      <c r="M64" s="150"/>
      <c r="N64" s="455"/>
    </row>
    <row r="65" spans="1:14" ht="12.75">
      <c r="A65" s="455"/>
      <c r="B65" s="455"/>
      <c r="C65" s="455" t="s">
        <v>529</v>
      </c>
      <c r="D65" s="455" t="s">
        <v>101</v>
      </c>
      <c r="E65" s="462">
        <f t="shared" si="11"/>
        <v>3019800</v>
      </c>
      <c r="F65" s="150">
        <v>19800</v>
      </c>
      <c r="G65" s="462">
        <f t="shared" si="13"/>
        <v>3000000</v>
      </c>
      <c r="H65" s="150"/>
      <c r="I65" s="150">
        <v>3000000</v>
      </c>
      <c r="J65" s="150"/>
      <c r="K65" s="150"/>
      <c r="L65" s="150"/>
      <c r="M65" s="150"/>
      <c r="N65" s="455"/>
    </row>
    <row r="66" spans="1:14" ht="12.75">
      <c r="A66" s="104"/>
      <c r="B66" s="104"/>
      <c r="C66" s="455" t="s">
        <v>517</v>
      </c>
      <c r="D66" s="149">
        <v>2009</v>
      </c>
      <c r="E66" s="462">
        <f t="shared" si="11"/>
        <v>15000</v>
      </c>
      <c r="F66" s="150"/>
      <c r="G66" s="462">
        <f t="shared" si="13"/>
        <v>15000</v>
      </c>
      <c r="H66" s="150">
        <v>15000</v>
      </c>
      <c r="I66" s="150"/>
      <c r="J66" s="150"/>
      <c r="K66" s="150"/>
      <c r="L66" s="150"/>
      <c r="M66" s="150"/>
      <c r="N66" s="455"/>
    </row>
    <row r="67" spans="1:14" ht="27.75">
      <c r="A67" s="460">
        <v>926</v>
      </c>
      <c r="B67" s="460">
        <v>92605</v>
      </c>
      <c r="C67" s="461" t="s">
        <v>133</v>
      </c>
      <c r="D67" s="460" t="s">
        <v>53</v>
      </c>
      <c r="E67" s="462">
        <f>SUM(F67:G67)</f>
        <v>3100000</v>
      </c>
      <c r="F67" s="462"/>
      <c r="G67" s="462">
        <f t="shared" si="13"/>
        <v>3100000</v>
      </c>
      <c r="H67" s="462"/>
      <c r="I67" s="462">
        <v>100000</v>
      </c>
      <c r="J67" s="462">
        <v>1000000</v>
      </c>
      <c r="K67" s="462">
        <v>1000000</v>
      </c>
      <c r="L67" s="462">
        <v>1000000</v>
      </c>
      <c r="M67" s="462"/>
      <c r="N67" s="453" t="s">
        <v>514</v>
      </c>
    </row>
    <row r="68" spans="3:14" ht="12.75">
      <c r="C68" s="467" t="s">
        <v>532</v>
      </c>
      <c r="D68" s="455"/>
      <c r="E68" s="713">
        <f aca="true" t="shared" si="14" ref="E68:M68">E7+E8+E18+E26+E27+E28+E29+E30+E31+E34+E39+E45+E48+E49+E50+E51+E52+E53+E60+E61+E67</f>
        <v>366866867.93</v>
      </c>
      <c r="F68" s="713">
        <f t="shared" si="14"/>
        <v>3009330.6</v>
      </c>
      <c r="G68" s="713">
        <f t="shared" si="14"/>
        <v>363857537.33</v>
      </c>
      <c r="H68" s="713">
        <f t="shared" si="14"/>
        <v>30588677.53</v>
      </c>
      <c r="I68" s="713">
        <f t="shared" si="14"/>
        <v>97549635</v>
      </c>
      <c r="J68" s="713">
        <f t="shared" si="14"/>
        <v>82018333</v>
      </c>
      <c r="K68" s="713">
        <f t="shared" si="14"/>
        <v>75176814.8</v>
      </c>
      <c r="L68" s="713">
        <f t="shared" si="14"/>
        <v>38164431</v>
      </c>
      <c r="M68" s="713">
        <f t="shared" si="14"/>
        <v>40359646</v>
      </c>
      <c r="N68" s="654"/>
    </row>
  </sheetData>
  <mergeCells count="4">
    <mergeCell ref="A1:C1"/>
    <mergeCell ref="E3:I3"/>
    <mergeCell ref="H4:I4"/>
    <mergeCell ref="A2:M2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21" max="13" man="1"/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75" zoomScalePageLayoutView="0" workbookViewId="0" topLeftCell="A1">
      <selection activeCell="I63" sqref="I63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34.125" style="0" customWidth="1"/>
    <col min="4" max="4" width="8.253906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875" style="0" customWidth="1"/>
    <col min="9" max="9" width="10.375" style="0" customWidth="1"/>
    <col min="10" max="10" width="10.125" style="0" customWidth="1"/>
    <col min="11" max="11" width="26.875" style="0" customWidth="1"/>
  </cols>
  <sheetData>
    <row r="1" spans="1:3" ht="52.5" customHeight="1">
      <c r="A1" s="775" t="s">
        <v>85</v>
      </c>
      <c r="B1" s="776"/>
      <c r="C1" s="776"/>
    </row>
    <row r="2" spans="1:11" ht="18.75">
      <c r="A2" s="784" t="s">
        <v>134</v>
      </c>
      <c r="B2" s="784"/>
      <c r="C2" s="784"/>
      <c r="D2" s="784"/>
      <c r="E2" s="784"/>
      <c r="F2" s="784"/>
      <c r="G2" s="784"/>
      <c r="H2" s="784"/>
      <c r="I2" s="784"/>
      <c r="J2" s="575"/>
      <c r="K2" s="99"/>
    </row>
    <row r="3" spans="1:11" ht="14.25" customHeight="1">
      <c r="A3" s="99"/>
      <c r="B3" s="99"/>
      <c r="C3" s="99"/>
      <c r="D3" s="99"/>
      <c r="E3" s="777" t="s">
        <v>251</v>
      </c>
      <c r="F3" s="778"/>
      <c r="G3" s="778"/>
      <c r="H3" s="778"/>
      <c r="I3" s="778"/>
      <c r="J3" s="352"/>
      <c r="K3" s="276"/>
    </row>
    <row r="4" spans="1:11" ht="15" customHeight="1">
      <c r="A4" s="99"/>
      <c r="B4" s="99"/>
      <c r="C4" s="99"/>
      <c r="D4" s="99"/>
      <c r="E4" s="442"/>
      <c r="F4" s="442"/>
      <c r="G4" s="442"/>
      <c r="H4" s="779"/>
      <c r="I4" s="779"/>
      <c r="J4" s="443"/>
      <c r="K4" s="276"/>
    </row>
    <row r="5" spans="1:11" ht="27.75" customHeight="1">
      <c r="A5" s="277" t="s">
        <v>209</v>
      </c>
      <c r="B5" s="277" t="s">
        <v>360</v>
      </c>
      <c r="C5" s="100" t="s">
        <v>403</v>
      </c>
      <c r="D5" s="100" t="s">
        <v>404</v>
      </c>
      <c r="E5" s="100" t="s">
        <v>405</v>
      </c>
      <c r="F5" s="100" t="s">
        <v>406</v>
      </c>
      <c r="G5" s="100" t="s">
        <v>407</v>
      </c>
      <c r="H5" s="100">
        <v>2009</v>
      </c>
      <c r="I5" s="100">
        <v>2010</v>
      </c>
      <c r="J5" s="100">
        <v>2011</v>
      </c>
      <c r="K5" s="100" t="s">
        <v>408</v>
      </c>
    </row>
    <row r="6" spans="1:11" ht="15" customHeight="1">
      <c r="A6" s="777" t="s">
        <v>409</v>
      </c>
      <c r="B6" s="778"/>
      <c r="C6" s="778"/>
      <c r="D6" s="778"/>
      <c r="E6" s="778"/>
      <c r="F6" s="778"/>
      <c r="G6" s="778"/>
      <c r="H6" s="778"/>
      <c r="I6" s="778"/>
      <c r="J6" s="778"/>
      <c r="K6" s="783"/>
    </row>
    <row r="7" spans="1:11" s="138" customFormat="1" ht="15.75" customHeight="1" thickBot="1">
      <c r="A7" s="655">
        <v>1</v>
      </c>
      <c r="B7" s="655">
        <v>2</v>
      </c>
      <c r="C7" s="656">
        <v>3</v>
      </c>
      <c r="D7" s="656">
        <v>4</v>
      </c>
      <c r="E7" s="656">
        <v>5</v>
      </c>
      <c r="F7" s="656">
        <v>6</v>
      </c>
      <c r="G7" s="656">
        <v>7</v>
      </c>
      <c r="H7" s="656">
        <v>8</v>
      </c>
      <c r="I7" s="656">
        <v>9</v>
      </c>
      <c r="J7" s="656">
        <v>10</v>
      </c>
      <c r="K7" s="656">
        <v>11</v>
      </c>
    </row>
    <row r="8" spans="1:11" s="152" customFormat="1" ht="16.5" customHeight="1" thickBot="1">
      <c r="A8" s="278">
        <v>600</v>
      </c>
      <c r="B8" s="282"/>
      <c r="C8" s="278" t="s">
        <v>214</v>
      </c>
      <c r="D8" s="283"/>
      <c r="E8" s="284">
        <f aca="true" t="shared" si="0" ref="E8:J8">SUM(E9)</f>
        <v>8791572</v>
      </c>
      <c r="F8" s="284">
        <f t="shared" si="0"/>
        <v>272572</v>
      </c>
      <c r="G8" s="284">
        <f t="shared" si="0"/>
        <v>8519000</v>
      </c>
      <c r="H8" s="284">
        <f t="shared" si="0"/>
        <v>2627000</v>
      </c>
      <c r="I8" s="284">
        <f t="shared" si="0"/>
        <v>5892000</v>
      </c>
      <c r="J8" s="284">
        <f t="shared" si="0"/>
        <v>0</v>
      </c>
      <c r="K8" s="696"/>
    </row>
    <row r="9" spans="1:11" s="152" customFormat="1" ht="14.25" customHeight="1">
      <c r="A9" s="185"/>
      <c r="B9" s="101">
        <v>60016</v>
      </c>
      <c r="C9" s="101" t="s">
        <v>203</v>
      </c>
      <c r="D9" s="151"/>
      <c r="E9" s="236">
        <f>SUM(E10:E20)</f>
        <v>8791572</v>
      </c>
      <c r="F9" s="236">
        <f>SUM(F10:F20)</f>
        <v>272572</v>
      </c>
      <c r="G9" s="236">
        <f>SUM(G10:G20)</f>
        <v>8519000</v>
      </c>
      <c r="H9" s="236">
        <f>SUM(H10:H20)</f>
        <v>2627000</v>
      </c>
      <c r="I9" s="236">
        <f>SUM(I10:I20)</f>
        <v>5892000</v>
      </c>
      <c r="J9" s="236">
        <f>SUM(J10:J16)</f>
        <v>0</v>
      </c>
      <c r="K9" s="285"/>
    </row>
    <row r="10" spans="1:11" s="152" customFormat="1" ht="24.75" customHeight="1">
      <c r="A10" s="104"/>
      <c r="B10" s="102"/>
      <c r="C10" s="103" t="s">
        <v>135</v>
      </c>
      <c r="D10" s="287" t="s">
        <v>515</v>
      </c>
      <c r="E10" s="281">
        <f aca="true" t="shared" si="1" ref="E10:E20">SUM(F10:G10)</f>
        <v>210000</v>
      </c>
      <c r="F10" s="468">
        <v>40000</v>
      </c>
      <c r="G10" s="366">
        <f>SUM(H10:I10)</f>
        <v>170000</v>
      </c>
      <c r="H10" s="469"/>
      <c r="I10" s="469">
        <v>170000</v>
      </c>
      <c r="J10" s="469"/>
      <c r="K10" s="105"/>
    </row>
    <row r="11" spans="1:11" ht="20.25" customHeight="1">
      <c r="A11" s="146"/>
      <c r="B11" s="226"/>
      <c r="C11" s="103" t="s">
        <v>136</v>
      </c>
      <c r="D11" s="287" t="s">
        <v>515</v>
      </c>
      <c r="E11" s="281">
        <f t="shared" si="1"/>
        <v>227072</v>
      </c>
      <c r="F11" s="468">
        <v>47072</v>
      </c>
      <c r="G11" s="366">
        <f>SUM(H11:I11)</f>
        <v>180000</v>
      </c>
      <c r="H11" s="469"/>
      <c r="I11" s="469">
        <v>180000</v>
      </c>
      <c r="J11" s="469"/>
      <c r="K11" s="105"/>
    </row>
    <row r="12" spans="1:11" s="152" customFormat="1" ht="36" customHeight="1">
      <c r="A12" s="146"/>
      <c r="B12" s="226"/>
      <c r="C12" s="310" t="s">
        <v>137</v>
      </c>
      <c r="D12" s="287" t="s">
        <v>515</v>
      </c>
      <c r="E12" s="281">
        <f t="shared" si="1"/>
        <v>730000</v>
      </c>
      <c r="F12" s="468">
        <v>30000</v>
      </c>
      <c r="G12" s="366">
        <f>SUM(H12:I12)</f>
        <v>700000</v>
      </c>
      <c r="H12" s="469">
        <v>300000</v>
      </c>
      <c r="I12" s="469">
        <v>400000</v>
      </c>
      <c r="J12" s="469"/>
      <c r="K12" s="105"/>
    </row>
    <row r="13" spans="1:11" s="152" customFormat="1" ht="27" customHeight="1">
      <c r="A13" s="146"/>
      <c r="B13" s="226"/>
      <c r="C13" s="310" t="s">
        <v>138</v>
      </c>
      <c r="D13" s="287" t="s">
        <v>104</v>
      </c>
      <c r="E13" s="281">
        <f t="shared" si="1"/>
        <v>202500</v>
      </c>
      <c r="F13" s="468">
        <v>2500</v>
      </c>
      <c r="G13" s="366">
        <f>SUM(H13:I13)</f>
        <v>200000</v>
      </c>
      <c r="H13" s="469">
        <v>100000</v>
      </c>
      <c r="I13" s="469">
        <v>100000</v>
      </c>
      <c r="J13" s="469"/>
      <c r="K13" s="105"/>
    </row>
    <row r="14" spans="1:11" s="152" customFormat="1" ht="35.25" customHeight="1">
      <c r="A14" s="104"/>
      <c r="B14" s="102"/>
      <c r="C14" s="310" t="s">
        <v>139</v>
      </c>
      <c r="D14" s="287" t="s">
        <v>101</v>
      </c>
      <c r="E14" s="281">
        <f t="shared" si="1"/>
        <v>1533000</v>
      </c>
      <c r="F14" s="468">
        <v>33000</v>
      </c>
      <c r="G14" s="366">
        <f>SUM(H14:I14)</f>
        <v>1500000</v>
      </c>
      <c r="H14" s="469">
        <v>72000</v>
      </c>
      <c r="I14" s="469">
        <v>1428000</v>
      </c>
      <c r="J14" s="469"/>
      <c r="K14" s="105"/>
    </row>
    <row r="15" spans="1:11" s="152" customFormat="1" ht="23.25" customHeight="1">
      <c r="A15" s="145"/>
      <c r="B15" s="475"/>
      <c r="C15" s="310" t="s">
        <v>140</v>
      </c>
      <c r="D15" s="287" t="s">
        <v>101</v>
      </c>
      <c r="E15" s="281">
        <f>SUM(F15:G15)</f>
        <v>2100000</v>
      </c>
      <c r="F15" s="468">
        <v>100000</v>
      </c>
      <c r="G15" s="468">
        <f aca="true" t="shared" si="2" ref="G15:G20">SUM(H15:J15)</f>
        <v>2000000</v>
      </c>
      <c r="H15" s="469"/>
      <c r="I15" s="469">
        <v>2000000</v>
      </c>
      <c r="J15" s="469"/>
      <c r="K15" s="105"/>
    </row>
    <row r="16" spans="1:11" s="152" customFormat="1" ht="35.25" customHeight="1">
      <c r="A16" s="145"/>
      <c r="B16" s="475"/>
      <c r="C16" s="310" t="s">
        <v>141</v>
      </c>
      <c r="D16" s="287" t="s">
        <v>101</v>
      </c>
      <c r="E16" s="281">
        <f t="shared" si="1"/>
        <v>370000</v>
      </c>
      <c r="F16" s="468">
        <v>20000</v>
      </c>
      <c r="G16" s="468">
        <f t="shared" si="2"/>
        <v>350000</v>
      </c>
      <c r="H16" s="469"/>
      <c r="I16" s="469">
        <v>350000</v>
      </c>
      <c r="J16" s="469"/>
      <c r="K16" s="105"/>
    </row>
    <row r="17" spans="1:11" s="152" customFormat="1" ht="24" customHeight="1">
      <c r="A17" s="104"/>
      <c r="B17" s="102"/>
      <c r="C17" s="310" t="s">
        <v>142</v>
      </c>
      <c r="D17" s="287">
        <v>2009</v>
      </c>
      <c r="E17" s="281">
        <f t="shared" si="1"/>
        <v>14000</v>
      </c>
      <c r="F17" s="468">
        <v>0</v>
      </c>
      <c r="G17" s="468">
        <f t="shared" si="2"/>
        <v>14000</v>
      </c>
      <c r="H17" s="469">
        <v>14000</v>
      </c>
      <c r="I17" s="469"/>
      <c r="J17" s="469"/>
      <c r="K17" s="105"/>
    </row>
    <row r="18" spans="1:11" s="152" customFormat="1" ht="24" customHeight="1">
      <c r="A18" s="104"/>
      <c r="B18" s="102"/>
      <c r="C18" s="310" t="s">
        <v>299</v>
      </c>
      <c r="D18" s="287" t="s">
        <v>530</v>
      </c>
      <c r="E18" s="281">
        <v>800000</v>
      </c>
      <c r="F18" s="468"/>
      <c r="G18" s="468">
        <f t="shared" si="2"/>
        <v>800000</v>
      </c>
      <c r="H18" s="469">
        <v>800000</v>
      </c>
      <c r="I18" s="469"/>
      <c r="J18" s="469"/>
      <c r="K18" s="105"/>
    </row>
    <row r="19" spans="1:11" s="152" customFormat="1" ht="45.75" customHeight="1">
      <c r="A19" s="104"/>
      <c r="B19" s="102"/>
      <c r="C19" s="310" t="s">
        <v>300</v>
      </c>
      <c r="D19" s="287" t="s">
        <v>101</v>
      </c>
      <c r="E19" s="281">
        <v>2282000</v>
      </c>
      <c r="F19" s="468"/>
      <c r="G19" s="468">
        <f t="shared" si="2"/>
        <v>2282000</v>
      </c>
      <c r="H19" s="469">
        <v>1141000</v>
      </c>
      <c r="I19" s="469">
        <v>1141000</v>
      </c>
      <c r="J19" s="469"/>
      <c r="K19" s="105"/>
    </row>
    <row r="20" spans="1:11" s="152" customFormat="1" ht="24" customHeight="1" thickBot="1">
      <c r="A20" s="146"/>
      <c r="B20" s="226"/>
      <c r="C20" s="383" t="s">
        <v>301</v>
      </c>
      <c r="D20" s="297" t="s">
        <v>104</v>
      </c>
      <c r="E20" s="661">
        <f t="shared" si="1"/>
        <v>323000</v>
      </c>
      <c r="F20" s="736"/>
      <c r="G20" s="736">
        <f t="shared" si="2"/>
        <v>323000</v>
      </c>
      <c r="H20" s="737">
        <v>200000</v>
      </c>
      <c r="I20" s="737">
        <v>123000</v>
      </c>
      <c r="J20" s="737"/>
      <c r="K20" s="299"/>
    </row>
    <row r="21" spans="1:11" s="152" customFormat="1" ht="21.75" customHeight="1" thickBot="1">
      <c r="A21" s="728">
        <v>700</v>
      </c>
      <c r="B21" s="278"/>
      <c r="C21" s="288" t="s">
        <v>191</v>
      </c>
      <c r="D21" s="289"/>
      <c r="E21" s="284">
        <f>SUM(E22)</f>
        <v>750000</v>
      </c>
      <c r="F21" s="284">
        <f>SUM(F23:F23)</f>
        <v>0</v>
      </c>
      <c r="G21" s="284">
        <f>SUM(G22)</f>
        <v>750000</v>
      </c>
      <c r="H21" s="284">
        <f>SUM(H22)</f>
        <v>750000</v>
      </c>
      <c r="I21" s="284">
        <f>SUM(I23:I23)</f>
        <v>0</v>
      </c>
      <c r="J21" s="657"/>
      <c r="K21" s="738"/>
    </row>
    <row r="22" spans="1:11" s="138" customFormat="1" ht="17.25" customHeight="1">
      <c r="A22" s="293"/>
      <c r="B22" s="293">
        <v>70005</v>
      </c>
      <c r="C22" s="658" t="s">
        <v>239</v>
      </c>
      <c r="D22" s="294"/>
      <c r="E22" s="659">
        <f>SUM(E23:E23)</f>
        <v>750000</v>
      </c>
      <c r="F22" s="659"/>
      <c r="G22" s="625">
        <f>SUM(H22:J22)</f>
        <v>750000</v>
      </c>
      <c r="H22" s="659">
        <f>SUM(H23:H23)</f>
        <v>750000</v>
      </c>
      <c r="I22" s="659"/>
      <c r="J22" s="660"/>
      <c r="K22" s="267"/>
    </row>
    <row r="23" spans="1:11" s="152" customFormat="1" ht="18" customHeight="1" thickBot="1">
      <c r="A23" s="302"/>
      <c r="B23" s="302"/>
      <c r="C23" s="383" t="s">
        <v>143</v>
      </c>
      <c r="D23" s="297">
        <v>2009</v>
      </c>
      <c r="E23" s="661">
        <f>SUM(F23:G23)</f>
        <v>750000</v>
      </c>
      <c r="F23" s="471"/>
      <c r="G23" s="471">
        <f>SUM(H23:I23)</f>
        <v>750000</v>
      </c>
      <c r="H23" s="471">
        <v>750000</v>
      </c>
      <c r="I23" s="471"/>
      <c r="J23" s="471"/>
      <c r="K23" s="299"/>
    </row>
    <row r="24" spans="1:11" ht="17.25" customHeight="1" thickBot="1">
      <c r="A24" s="278">
        <v>750</v>
      </c>
      <c r="B24" s="278"/>
      <c r="C24" s="288" t="s">
        <v>216</v>
      </c>
      <c r="D24" s="289"/>
      <c r="E24" s="292">
        <f>SUM(E25)</f>
        <v>100000</v>
      </c>
      <c r="F24" s="292">
        <f>SUM(F25)</f>
        <v>0</v>
      </c>
      <c r="G24" s="292">
        <f>SUM(G25)</f>
        <v>100000</v>
      </c>
      <c r="H24" s="292">
        <f>SUM(H25)</f>
        <v>100000</v>
      </c>
      <c r="I24" s="292"/>
      <c r="J24" s="662"/>
      <c r="K24" s="292"/>
    </row>
    <row r="25" spans="1:11" s="152" customFormat="1" ht="24" customHeight="1" thickBot="1">
      <c r="A25" s="293"/>
      <c r="B25" s="293">
        <v>75023</v>
      </c>
      <c r="C25" s="472" t="s">
        <v>505</v>
      </c>
      <c r="D25" s="294">
        <v>2009</v>
      </c>
      <c r="E25" s="281">
        <f>SUM(F25:G25)</f>
        <v>100000</v>
      </c>
      <c r="F25" s="473"/>
      <c r="G25" s="148">
        <f>SUM(H25:I25)</f>
        <v>100000</v>
      </c>
      <c r="H25" s="473">
        <v>100000</v>
      </c>
      <c r="I25" s="473"/>
      <c r="J25" s="473"/>
      <c r="K25" s="267"/>
    </row>
    <row r="26" spans="1:11" s="152" customFormat="1" ht="26.25" customHeight="1" thickBot="1">
      <c r="A26" s="291">
        <v>754</v>
      </c>
      <c r="B26" s="291"/>
      <c r="C26" s="244" t="s">
        <v>410</v>
      </c>
      <c r="D26" s="474"/>
      <c r="E26" s="292">
        <f>SUM(E27:E28)</f>
        <v>425000</v>
      </c>
      <c r="F26" s="292">
        <f>SUM(F27:F28)</f>
        <v>0</v>
      </c>
      <c r="G26" s="292">
        <f>SUM(G27:G28)</f>
        <v>425000</v>
      </c>
      <c r="H26" s="292">
        <f>SUM(H27:H28)</f>
        <v>425000</v>
      </c>
      <c r="I26" s="292">
        <f>SUM(I27:I28)</f>
        <v>0</v>
      </c>
      <c r="J26" s="662"/>
      <c r="K26" s="292"/>
    </row>
    <row r="27" spans="1:11" ht="23.25" customHeight="1">
      <c r="A27" s="102"/>
      <c r="B27" s="293">
        <v>75414</v>
      </c>
      <c r="C27" s="411" t="s">
        <v>533</v>
      </c>
      <c r="D27" s="294">
        <v>2009</v>
      </c>
      <c r="E27" s="663">
        <f>SUM(F27:G27)</f>
        <v>55000</v>
      </c>
      <c r="F27" s="268"/>
      <c r="G27" s="148">
        <f>SUM(H27:I27)</f>
        <v>55000</v>
      </c>
      <c r="H27" s="268">
        <v>55000</v>
      </c>
      <c r="I27" s="268"/>
      <c r="J27" s="268"/>
      <c r="K27" s="105"/>
    </row>
    <row r="28" spans="1:11" s="152" customFormat="1" ht="23.25" customHeight="1" thickBot="1">
      <c r="A28" s="247"/>
      <c r="B28" s="101">
        <v>75412</v>
      </c>
      <c r="C28" s="412" t="s">
        <v>146</v>
      </c>
      <c r="D28" s="287">
        <v>2009</v>
      </c>
      <c r="E28" s="664">
        <f>SUM(F28:G28)</f>
        <v>370000</v>
      </c>
      <c r="F28" s="286"/>
      <c r="G28" s="148">
        <f>SUM(H28:I28)</f>
        <v>370000</v>
      </c>
      <c r="H28" s="286">
        <v>370000</v>
      </c>
      <c r="I28" s="286"/>
      <c r="J28" s="286"/>
      <c r="K28" s="267"/>
    </row>
    <row r="29" spans="1:11" s="152" customFormat="1" ht="13.5" customHeight="1" thickBot="1">
      <c r="A29" s="278">
        <v>801</v>
      </c>
      <c r="B29" s="278"/>
      <c r="C29" s="288" t="s">
        <v>192</v>
      </c>
      <c r="D29" s="289"/>
      <c r="E29" s="284">
        <f>SUM(E30+E34)</f>
        <v>537400</v>
      </c>
      <c r="F29" s="284">
        <f>SUM(F30+F34)</f>
        <v>19400</v>
      </c>
      <c r="G29" s="284">
        <f>SUM(G30+G34)</f>
        <v>518000</v>
      </c>
      <c r="H29" s="284">
        <f>SUM(H30+H34)</f>
        <v>518000</v>
      </c>
      <c r="I29" s="284">
        <f>SUM(I30)</f>
        <v>0</v>
      </c>
      <c r="J29" s="657"/>
      <c r="K29" s="697"/>
    </row>
    <row r="30" spans="1:11" ht="16.5" customHeight="1">
      <c r="A30" s="242"/>
      <c r="B30" s="242">
        <v>80101</v>
      </c>
      <c r="C30" s="245" t="s">
        <v>412</v>
      </c>
      <c r="D30" s="295"/>
      <c r="E30" s="296">
        <f>SUM(E31:E33)</f>
        <v>515000</v>
      </c>
      <c r="F30" s="296">
        <f>SUM(F31:F32)</f>
        <v>12000</v>
      </c>
      <c r="G30" s="296">
        <f>SUM(G31:G33)</f>
        <v>503000</v>
      </c>
      <c r="H30" s="296">
        <f>SUM(H31:H33)</f>
        <v>503000</v>
      </c>
      <c r="I30" s="296">
        <f>SUM(I31:I32)</f>
        <v>0</v>
      </c>
      <c r="J30" s="296"/>
      <c r="K30" s="266"/>
    </row>
    <row r="31" spans="1:11" s="152" customFormat="1" ht="22.5" customHeight="1">
      <c r="A31" s="102"/>
      <c r="B31" s="101"/>
      <c r="C31" s="412" t="s">
        <v>147</v>
      </c>
      <c r="D31" s="287" t="s">
        <v>530</v>
      </c>
      <c r="E31" s="286">
        <f>SUM(F31:G31)</f>
        <v>258000</v>
      </c>
      <c r="F31" s="105">
        <v>5000</v>
      </c>
      <c r="G31" s="105">
        <v>253000</v>
      </c>
      <c r="H31" s="286">
        <v>253000</v>
      </c>
      <c r="I31" s="286"/>
      <c r="J31" s="286"/>
      <c r="K31" s="290"/>
    </row>
    <row r="32" spans="1:11" s="152" customFormat="1" ht="29.25" customHeight="1">
      <c r="A32" s="102"/>
      <c r="B32" s="102"/>
      <c r="C32" s="412" t="s">
        <v>148</v>
      </c>
      <c r="D32" s="287" t="s">
        <v>530</v>
      </c>
      <c r="E32" s="286">
        <f>SUM(F32:G32)</f>
        <v>207000</v>
      </c>
      <c r="F32" s="105">
        <v>7000</v>
      </c>
      <c r="G32" s="105">
        <f>SUM(H32:I32)</f>
        <v>200000</v>
      </c>
      <c r="H32" s="286">
        <v>200000</v>
      </c>
      <c r="I32" s="286"/>
      <c r="J32" s="286"/>
      <c r="K32" s="290"/>
    </row>
    <row r="33" spans="1:11" ht="19.5" customHeight="1">
      <c r="A33" s="102"/>
      <c r="B33" s="102"/>
      <c r="C33" s="412" t="s">
        <v>149</v>
      </c>
      <c r="D33" s="287">
        <v>2009</v>
      </c>
      <c r="E33" s="286">
        <f>SUM(F33:G33)</f>
        <v>50000</v>
      </c>
      <c r="F33" s="105"/>
      <c r="G33" s="105">
        <f>SUM(H33:I33)</f>
        <v>50000</v>
      </c>
      <c r="H33" s="286">
        <v>50000</v>
      </c>
      <c r="I33" s="286"/>
      <c r="J33" s="286"/>
      <c r="K33" s="290"/>
    </row>
    <row r="34" spans="1:11" s="152" customFormat="1" ht="24" customHeight="1">
      <c r="A34" s="102"/>
      <c r="B34" s="101">
        <v>80114</v>
      </c>
      <c r="C34" s="106" t="s">
        <v>342</v>
      </c>
      <c r="D34" s="287"/>
      <c r="E34" s="665">
        <f>SUM(E35)</f>
        <v>22400</v>
      </c>
      <c r="F34" s="665">
        <f>SUM(F35)</f>
        <v>7400</v>
      </c>
      <c r="G34" s="665">
        <f>SUM(G35)</f>
        <v>15000</v>
      </c>
      <c r="H34" s="665">
        <f>SUM(H35)</f>
        <v>15000</v>
      </c>
      <c r="I34" s="665"/>
      <c r="J34" s="286"/>
      <c r="K34" s="290"/>
    </row>
    <row r="35" spans="1:11" ht="27" customHeight="1" thickBot="1">
      <c r="A35" s="247"/>
      <c r="B35" s="247"/>
      <c r="C35" s="412" t="s">
        <v>74</v>
      </c>
      <c r="D35" s="294" t="s">
        <v>163</v>
      </c>
      <c r="E35" s="286">
        <f>SUM(F35:G35)</f>
        <v>22400</v>
      </c>
      <c r="F35" s="267">
        <v>7400</v>
      </c>
      <c r="G35" s="105">
        <f>SUM(H35:I35)</f>
        <v>15000</v>
      </c>
      <c r="H35" s="268">
        <v>15000</v>
      </c>
      <c r="I35" s="268"/>
      <c r="J35" s="268"/>
      <c r="K35" s="698"/>
    </row>
    <row r="36" spans="1:11" ht="24" customHeight="1" thickBot="1">
      <c r="A36" s="278">
        <v>853</v>
      </c>
      <c r="B36" s="278"/>
      <c r="C36" s="244" t="s">
        <v>310</v>
      </c>
      <c r="D36" s="283"/>
      <c r="E36" s="666">
        <f>SUM(E37)</f>
        <v>1550000</v>
      </c>
      <c r="F36" s="666">
        <f>SUM(F37)</f>
        <v>50000</v>
      </c>
      <c r="G36" s="666">
        <f>SUM(G37)</f>
        <v>1500000</v>
      </c>
      <c r="H36" s="666">
        <f>SUM(H37)</f>
        <v>100000</v>
      </c>
      <c r="I36" s="666">
        <f>SUM(I37)</f>
        <v>1400000</v>
      </c>
      <c r="J36" s="666"/>
      <c r="K36" s="699"/>
    </row>
    <row r="37" spans="1:11" ht="34.5" thickBot="1">
      <c r="A37" s="247"/>
      <c r="B37" s="613">
        <v>85311</v>
      </c>
      <c r="C37" s="418" t="s">
        <v>76</v>
      </c>
      <c r="D37" s="294" t="s">
        <v>101</v>
      </c>
      <c r="E37" s="286">
        <f>SUM(F37:G37)</f>
        <v>1550000</v>
      </c>
      <c r="F37" s="267">
        <v>50000</v>
      </c>
      <c r="G37" s="266">
        <f>SUM(H37:I37)</f>
        <v>1500000</v>
      </c>
      <c r="H37" s="268">
        <v>100000</v>
      </c>
      <c r="I37" s="268">
        <v>1400000</v>
      </c>
      <c r="J37" s="268"/>
      <c r="K37" s="700"/>
    </row>
    <row r="38" spans="1:11" ht="23.25" thickBot="1">
      <c r="A38" s="278">
        <v>900</v>
      </c>
      <c r="B38" s="278"/>
      <c r="C38" s="288" t="s">
        <v>413</v>
      </c>
      <c r="D38" s="289"/>
      <c r="E38" s="284">
        <f aca="true" t="shared" si="3" ref="E38:J38">SUM(E39+E44)</f>
        <v>1259500</v>
      </c>
      <c r="F38" s="284">
        <f t="shared" si="3"/>
        <v>221500</v>
      </c>
      <c r="G38" s="284">
        <f t="shared" si="3"/>
        <v>1038000</v>
      </c>
      <c r="H38" s="284">
        <f t="shared" si="3"/>
        <v>783000</v>
      </c>
      <c r="I38" s="284">
        <f t="shared" si="3"/>
        <v>255000</v>
      </c>
      <c r="J38" s="284">
        <f t="shared" si="3"/>
        <v>0</v>
      </c>
      <c r="K38" s="701"/>
    </row>
    <row r="39" spans="1:11" ht="12.75">
      <c r="A39" s="324"/>
      <c r="B39" s="304">
        <v>90015</v>
      </c>
      <c r="C39" s="305" t="s">
        <v>507</v>
      </c>
      <c r="D39" s="667"/>
      <c r="E39" s="477">
        <f>SUM(E40:E43)</f>
        <v>766000</v>
      </c>
      <c r="F39" s="477">
        <f>SUM(F40:F43)</f>
        <v>215000</v>
      </c>
      <c r="G39" s="477">
        <f>SUM(G40:G43)</f>
        <v>551000</v>
      </c>
      <c r="H39" s="477">
        <f>SUM(H40:H43)</f>
        <v>446000</v>
      </c>
      <c r="I39" s="477">
        <f>SUM(I40:I43)</f>
        <v>105000</v>
      </c>
      <c r="J39" s="477"/>
      <c r="K39" s="478"/>
    </row>
    <row r="40" spans="1:11" ht="22.5">
      <c r="A40" s="102"/>
      <c r="B40" s="102"/>
      <c r="C40" s="103" t="s">
        <v>150</v>
      </c>
      <c r="D40" s="287" t="s">
        <v>411</v>
      </c>
      <c r="E40" s="286">
        <f>SUM(F40:G40)</f>
        <v>605000</v>
      </c>
      <c r="F40" s="105">
        <v>200000</v>
      </c>
      <c r="G40" s="105">
        <f>SUM(H40:I40)</f>
        <v>405000</v>
      </c>
      <c r="H40" s="286">
        <v>405000</v>
      </c>
      <c r="I40" s="286"/>
      <c r="J40" s="286"/>
      <c r="K40" s="479"/>
    </row>
    <row r="41" spans="1:11" ht="26.25" customHeight="1">
      <c r="A41" s="102"/>
      <c r="B41" s="102"/>
      <c r="C41" s="300" t="s">
        <v>151</v>
      </c>
      <c r="D41" s="295" t="s">
        <v>101</v>
      </c>
      <c r="E41" s="301">
        <v>95000</v>
      </c>
      <c r="F41" s="266">
        <v>15000</v>
      </c>
      <c r="G41" s="266">
        <v>80000</v>
      </c>
      <c r="H41" s="301"/>
      <c r="I41" s="301">
        <v>80000</v>
      </c>
      <c r="J41" s="301"/>
      <c r="K41" s="668"/>
    </row>
    <row r="42" spans="1:11" ht="25.5" customHeight="1">
      <c r="A42" s="475"/>
      <c r="B42" s="475"/>
      <c r="C42" s="300" t="s">
        <v>152</v>
      </c>
      <c r="D42" s="295">
        <v>2009</v>
      </c>
      <c r="E42" s="301">
        <v>33000</v>
      </c>
      <c r="F42" s="266"/>
      <c r="G42" s="266">
        <f>SUM(H42:I42)</f>
        <v>33000</v>
      </c>
      <c r="H42" s="301">
        <v>33000</v>
      </c>
      <c r="I42" s="301"/>
      <c r="J42" s="301"/>
      <c r="K42" s="668"/>
    </row>
    <row r="43" spans="1:11" ht="24" customHeight="1">
      <c r="A43" s="475"/>
      <c r="B43" s="475"/>
      <c r="C43" s="300" t="s">
        <v>153</v>
      </c>
      <c r="D43" s="295" t="s">
        <v>104</v>
      </c>
      <c r="E43" s="301">
        <v>33000</v>
      </c>
      <c r="F43" s="266"/>
      <c r="G43" s="266">
        <f>SUM(H43:I43)</f>
        <v>33000</v>
      </c>
      <c r="H43" s="301">
        <v>8000</v>
      </c>
      <c r="I43" s="301">
        <v>25000</v>
      </c>
      <c r="J43" s="301"/>
      <c r="K43" s="668"/>
    </row>
    <row r="44" spans="1:11" ht="18.75" customHeight="1">
      <c r="A44" s="242"/>
      <c r="B44" s="242">
        <v>90095</v>
      </c>
      <c r="C44" s="245" t="s">
        <v>190</v>
      </c>
      <c r="D44" s="295"/>
      <c r="E44" s="296">
        <f>SUM(E45:E47)</f>
        <v>493500</v>
      </c>
      <c r="F44" s="296">
        <f>SUM(F45:F47)</f>
        <v>6500</v>
      </c>
      <c r="G44" s="296">
        <f>SUM(G45:G47)</f>
        <v>487000</v>
      </c>
      <c r="H44" s="296">
        <f>SUM(H45:H47)</f>
        <v>337000</v>
      </c>
      <c r="I44" s="296">
        <f>SUM(I46:I47)</f>
        <v>150000</v>
      </c>
      <c r="J44" s="296">
        <f>SUM(J46:J47)</f>
        <v>0</v>
      </c>
      <c r="K44" s="266"/>
    </row>
    <row r="45" spans="1:11" ht="22.5">
      <c r="A45" s="242"/>
      <c r="B45" s="242"/>
      <c r="C45" s="412" t="s">
        <v>154</v>
      </c>
      <c r="D45" s="295" t="s">
        <v>530</v>
      </c>
      <c r="E45" s="669">
        <v>50000</v>
      </c>
      <c r="F45" s="296"/>
      <c r="G45" s="105">
        <f>SUM(H45:I45)</f>
        <v>50000</v>
      </c>
      <c r="H45" s="669">
        <v>50000</v>
      </c>
      <c r="I45" s="296"/>
      <c r="J45" s="296"/>
      <c r="K45" s="266"/>
    </row>
    <row r="46" spans="1:11" ht="12.75">
      <c r="A46" s="102"/>
      <c r="B46" s="102"/>
      <c r="C46" s="103" t="s">
        <v>155</v>
      </c>
      <c r="D46" s="287" t="s">
        <v>101</v>
      </c>
      <c r="E46" s="286">
        <f>SUM(F46:G46)</f>
        <v>350000</v>
      </c>
      <c r="F46" s="105"/>
      <c r="G46" s="105">
        <f>SUM(H46:J46)</f>
        <v>350000</v>
      </c>
      <c r="H46" s="286">
        <v>200000</v>
      </c>
      <c r="I46" s="286">
        <v>150000</v>
      </c>
      <c r="J46" s="286"/>
      <c r="K46" s="105"/>
    </row>
    <row r="47" spans="1:11" ht="23.25" thickBot="1">
      <c r="A47" s="226"/>
      <c r="B47" s="226"/>
      <c r="C47" s="412" t="s">
        <v>156</v>
      </c>
      <c r="D47" s="297" t="s">
        <v>530</v>
      </c>
      <c r="E47" s="286">
        <f>SUM(F47:G47)</f>
        <v>93500</v>
      </c>
      <c r="F47" s="299">
        <v>6500</v>
      </c>
      <c r="G47" s="105">
        <f>SUM(H47:J47)</f>
        <v>87000</v>
      </c>
      <c r="H47" s="298">
        <v>87000</v>
      </c>
      <c r="I47" s="298"/>
      <c r="J47" s="298"/>
      <c r="K47" s="299"/>
    </row>
    <row r="48" spans="1:11" ht="23.25" thickBot="1">
      <c r="A48" s="278">
        <v>921</v>
      </c>
      <c r="B48" s="278"/>
      <c r="C48" s="303" t="s">
        <v>496</v>
      </c>
      <c r="D48" s="289"/>
      <c r="E48" s="666">
        <f aca="true" t="shared" si="4" ref="E48:H49">SUM(E49)</f>
        <v>395000</v>
      </c>
      <c r="F48" s="666">
        <f t="shared" si="4"/>
        <v>120000</v>
      </c>
      <c r="G48" s="284">
        <f t="shared" si="4"/>
        <v>275000</v>
      </c>
      <c r="H48" s="284">
        <f t="shared" si="4"/>
        <v>275000</v>
      </c>
      <c r="I48" s="283"/>
      <c r="J48" s="283"/>
      <c r="K48" s="697"/>
    </row>
    <row r="49" spans="1:11" ht="12.75">
      <c r="A49" s="242"/>
      <c r="B49" s="242">
        <v>92109</v>
      </c>
      <c r="C49" s="305" t="s">
        <v>236</v>
      </c>
      <c r="D49" s="295"/>
      <c r="E49" s="670">
        <f t="shared" si="4"/>
        <v>395000</v>
      </c>
      <c r="F49" s="670">
        <f t="shared" si="4"/>
        <v>120000</v>
      </c>
      <c r="G49" s="670">
        <f t="shared" si="4"/>
        <v>275000</v>
      </c>
      <c r="H49" s="670">
        <f t="shared" si="4"/>
        <v>275000</v>
      </c>
      <c r="I49" s="671"/>
      <c r="J49" s="671"/>
      <c r="K49" s="266"/>
    </row>
    <row r="50" spans="1:11" ht="13.5" thickBot="1">
      <c r="A50" s="226"/>
      <c r="B50" s="226"/>
      <c r="C50" s="248" t="s">
        <v>94</v>
      </c>
      <c r="D50" s="297" t="s">
        <v>530</v>
      </c>
      <c r="E50" s="298">
        <f>SUM(F50:G50)</f>
        <v>395000</v>
      </c>
      <c r="F50" s="299">
        <v>120000</v>
      </c>
      <c r="G50" s="299">
        <f>SUM(H50:J50)</f>
        <v>275000</v>
      </c>
      <c r="H50" s="298">
        <v>275000</v>
      </c>
      <c r="I50" s="298"/>
      <c r="J50" s="297"/>
      <c r="K50" s="299"/>
    </row>
    <row r="51" spans="1:11" ht="12.75" customHeight="1" thickBot="1">
      <c r="A51" s="728">
        <v>926</v>
      </c>
      <c r="B51" s="278"/>
      <c r="C51" s="291" t="s">
        <v>498</v>
      </c>
      <c r="D51" s="289"/>
      <c r="E51" s="666">
        <f>SUM(E52+E54)</f>
        <v>2030000</v>
      </c>
      <c r="F51" s="666">
        <f>SUM(F52+F54)</f>
        <v>30000</v>
      </c>
      <c r="G51" s="666">
        <f>SUM(G52+G54)</f>
        <v>2000000</v>
      </c>
      <c r="H51" s="666">
        <f>SUM(H52+H54)</f>
        <v>1500000</v>
      </c>
      <c r="I51" s="666">
        <f>SUM(I52+I54)</f>
        <v>500000</v>
      </c>
      <c r="J51" s="735">
        <f>SUM(J54)</f>
        <v>0</v>
      </c>
      <c r="K51" s="734"/>
    </row>
    <row r="52" spans="1:11" ht="12.75" customHeight="1">
      <c r="A52" s="242"/>
      <c r="B52" s="242">
        <v>92601</v>
      </c>
      <c r="C52" s="304" t="s">
        <v>1</v>
      </c>
      <c r="D52" s="295"/>
      <c r="E52" s="670">
        <f aca="true" t="shared" si="5" ref="E52:J52">SUM(E53)</f>
        <v>1500000</v>
      </c>
      <c r="F52" s="670">
        <f t="shared" si="5"/>
        <v>0</v>
      </c>
      <c r="G52" s="670">
        <f t="shared" si="5"/>
        <v>1500000</v>
      </c>
      <c r="H52" s="670">
        <f t="shared" si="5"/>
        <v>1500000</v>
      </c>
      <c r="I52" s="670">
        <f t="shared" si="5"/>
        <v>0</v>
      </c>
      <c r="J52" s="670">
        <f t="shared" si="5"/>
        <v>0</v>
      </c>
      <c r="K52" s="105"/>
    </row>
    <row r="53" spans="1:11" ht="24.75" customHeight="1">
      <c r="A53" s="101"/>
      <c r="B53" s="101"/>
      <c r="C53" s="300" t="s">
        <v>298</v>
      </c>
      <c r="D53" s="287">
        <v>2009</v>
      </c>
      <c r="E53" s="286">
        <f>SUM(F53:G53)</f>
        <v>1500000</v>
      </c>
      <c r="F53" s="286"/>
      <c r="G53" s="105">
        <f>SUM(H53:J53)</f>
        <v>1500000</v>
      </c>
      <c r="H53" s="286">
        <v>1500000</v>
      </c>
      <c r="I53" s="286"/>
      <c r="J53" s="286"/>
      <c r="K53" s="105"/>
    </row>
    <row r="54" spans="1:11" ht="22.5">
      <c r="A54" s="242"/>
      <c r="B54" s="242">
        <v>92605</v>
      </c>
      <c r="C54" s="305" t="s">
        <v>157</v>
      </c>
      <c r="D54" s="671"/>
      <c r="E54" s="670">
        <f aca="true" t="shared" si="6" ref="E54:J54">SUM(E55)</f>
        <v>530000</v>
      </c>
      <c r="F54" s="670">
        <f t="shared" si="6"/>
        <v>30000</v>
      </c>
      <c r="G54" s="670">
        <f t="shared" si="6"/>
        <v>500000</v>
      </c>
      <c r="H54" s="670">
        <f t="shared" si="6"/>
        <v>0</v>
      </c>
      <c r="I54" s="670">
        <f t="shared" si="6"/>
        <v>500000</v>
      </c>
      <c r="J54" s="670">
        <f t="shared" si="6"/>
        <v>0</v>
      </c>
      <c r="K54" s="266"/>
    </row>
    <row r="55" spans="1:11" ht="23.25" thickBot="1">
      <c r="A55" s="226"/>
      <c r="B55" s="226"/>
      <c r="C55" s="246" t="s">
        <v>158</v>
      </c>
      <c r="D55" s="297" t="s">
        <v>101</v>
      </c>
      <c r="E55" s="298">
        <f>SUM(F55:G55)</f>
        <v>530000</v>
      </c>
      <c r="F55" s="299">
        <v>30000</v>
      </c>
      <c r="G55" s="299">
        <f>SUM(H55:J55)</f>
        <v>500000</v>
      </c>
      <c r="H55" s="298"/>
      <c r="I55" s="298">
        <v>500000</v>
      </c>
      <c r="J55" s="298"/>
      <c r="K55" s="299"/>
    </row>
    <row r="56" spans="1:11" ht="12.75">
      <c r="A56" s="430"/>
      <c r="B56" s="430"/>
      <c r="C56" s="702" t="s">
        <v>332</v>
      </c>
      <c r="D56" s="703"/>
      <c r="E56" s="704">
        <f aca="true" t="shared" si="7" ref="E56:J56">E8+E21+E24+E26+E29+E36+E38+E48+E51</f>
        <v>15838472</v>
      </c>
      <c r="F56" s="704">
        <f t="shared" si="7"/>
        <v>713472</v>
      </c>
      <c r="G56" s="704">
        <f t="shared" si="7"/>
        <v>15125000</v>
      </c>
      <c r="H56" s="704">
        <f t="shared" si="7"/>
        <v>7078000</v>
      </c>
      <c r="I56" s="704">
        <f t="shared" si="7"/>
        <v>8047000</v>
      </c>
      <c r="J56" s="704">
        <f t="shared" si="7"/>
        <v>0</v>
      </c>
      <c r="K56" s="705"/>
    </row>
  </sheetData>
  <sheetProtection/>
  <mergeCells count="5">
    <mergeCell ref="A6:K6"/>
    <mergeCell ref="A1:C1"/>
    <mergeCell ref="A2:I2"/>
    <mergeCell ref="E3:I3"/>
    <mergeCell ref="H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rowBreaks count="2" manualBreakCount="2">
    <brk id="23" max="10" man="1"/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Barbara Bąk</cp:lastModifiedBy>
  <cp:lastPrinted>2009-01-20T13:46:02Z</cp:lastPrinted>
  <dcterms:created xsi:type="dcterms:W3CDTF">1999-10-04T07:27:01Z</dcterms:created>
  <dcterms:modified xsi:type="dcterms:W3CDTF">2009-03-26T08:30:55Z</dcterms:modified>
  <cp:category/>
  <cp:version/>
  <cp:contentType/>
  <cp:contentStatus/>
</cp:coreProperties>
</file>