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925" windowHeight="4935" firstSheet="4" activeTab="6"/>
  </bookViews>
  <sheets>
    <sheet name="zał nr 6" sheetId="1" r:id="rId1"/>
    <sheet name="zał nr 10" sheetId="2" r:id="rId2"/>
    <sheet name="zał nr 8" sheetId="3" r:id="rId3"/>
    <sheet name="zał nr11" sheetId="4" r:id="rId4"/>
    <sheet name="zał nr 9" sheetId="5" r:id="rId5"/>
    <sheet name="zał nr 7" sheetId="6" r:id="rId6"/>
    <sheet name="inwest-2007" sheetId="7" r:id="rId7"/>
    <sheet name="inwet-UE" sheetId="8" r:id="rId8"/>
    <sheet name="inwest 2007-2009" sheetId="9" r:id="rId9"/>
    <sheet name="wyd.2007" sheetId="10" r:id="rId10"/>
    <sheet name="doch.2007" sheetId="11" r:id="rId11"/>
    <sheet name="zad.zlec 2007" sheetId="12" r:id="rId12"/>
  </sheets>
  <definedNames/>
  <calcPr fullCalcOnLoad="1"/>
</workbook>
</file>

<file path=xl/sharedStrings.xml><?xml version="1.0" encoding="utf-8"?>
<sst xmlns="http://schemas.openxmlformats.org/spreadsheetml/2006/main" count="979" uniqueCount="533">
  <si>
    <t xml:space="preserve">dział </t>
  </si>
  <si>
    <t>rozdz.</t>
  </si>
  <si>
    <t>treść</t>
  </si>
  <si>
    <t>Pozostała działalność</t>
  </si>
  <si>
    <t>GOSPODARKA MIESZKANIOWA</t>
  </si>
  <si>
    <t>OŚWIATA I WYCHOWANIE</t>
  </si>
  <si>
    <t>Gimnazja</t>
  </si>
  <si>
    <t>OCHRONA ZDROWIA</t>
  </si>
  <si>
    <t>Żłobki</t>
  </si>
  <si>
    <t>Dodatki mieszkaniowe</t>
  </si>
  <si>
    <t xml:space="preserve"> </t>
  </si>
  <si>
    <t>Obrona cywilna</t>
  </si>
  <si>
    <t>RÓŻNE ROZLICZENIA</t>
  </si>
  <si>
    <t>OGÓŁEM</t>
  </si>
  <si>
    <t>KULTURA FIZYCZNA I SPORT</t>
  </si>
  <si>
    <t>w tym:
wydatki bieżące</t>
  </si>
  <si>
    <t>Drogi publiczne gminne</t>
  </si>
  <si>
    <t>Ochotnicze straże pożarne</t>
  </si>
  <si>
    <t>Biblioteki</t>
  </si>
  <si>
    <t>Przeciwdziałanie alkoholizmowi</t>
  </si>
  <si>
    <t>ogółem</t>
  </si>
  <si>
    <t>dotacje</t>
  </si>
  <si>
    <t>dział</t>
  </si>
  <si>
    <t xml:space="preserve">ogółem </t>
  </si>
  <si>
    <t>w tym:
wynagr.i
pochodne</t>
  </si>
  <si>
    <t>wyd.inwest.</t>
  </si>
  <si>
    <t>TRANSPORT I ŁĄCZNOŚĆ</t>
  </si>
  <si>
    <t>ROLNICTWO i ŁOWIECTWO</t>
  </si>
  <si>
    <t>ADMINISTRACJA PUBLICZNA</t>
  </si>
  <si>
    <t>Urzędy gmin (miast i miast na prawach powiatu)</t>
  </si>
  <si>
    <t>URZĘDY NACELNYCH ORGANÓW WŁADZY
PAŃSTWOWEJ, KONTROLI I OCHRONY PRAWA ORAZ SĄDOWNICTWA</t>
  </si>
  <si>
    <t>BEZPIECZEŃSTWO PUBLICZNE I OCHRONA
PRZECIWPOŻAROWA</t>
  </si>
  <si>
    <t>Różne rozliczenia finansowe</t>
  </si>
  <si>
    <t>Szkoły podstawowe</t>
  </si>
  <si>
    <t>Licea ogólnokształcące</t>
  </si>
  <si>
    <t>Ośrodki pomocy społecznej</t>
  </si>
  <si>
    <t>EDUKACYJNA OPIEKA WYCHOWAWCZA</t>
  </si>
  <si>
    <t>ROLNICTWO I ŁOWIECTWO</t>
  </si>
  <si>
    <t>Lokalny transport zbiorczy</t>
  </si>
  <si>
    <t>DZIAŁALNOŚĆ USŁUGOWA</t>
  </si>
  <si>
    <t>Rady gmin (miast i miast na prawach 
powiatu)</t>
  </si>
  <si>
    <t>URZĘDY NACZELNYCH ORGANÓW
WŁADZY PAŃSTWOWEJ, KONTROLI I OCHRONY PRAWA 
ORAZ SĄDOWNICTWA</t>
  </si>
  <si>
    <t>BEZPIECZEŃSTWO PUBLICZNE I 
OCHRONA PRZECIWPOŻAROWA</t>
  </si>
  <si>
    <t>OBSŁUGA DŁUGU PUBLICZNEGO</t>
  </si>
  <si>
    <t>Rezerwy ogólne i celowe</t>
  </si>
  <si>
    <t xml:space="preserve">OŚWIATA I WYCHOWANIE </t>
  </si>
  <si>
    <t>Oczyszczanie miast i wsi</t>
  </si>
  <si>
    <t xml:space="preserve">Oświetlenie ulic, placów i dróg </t>
  </si>
  <si>
    <t xml:space="preserve">KULTURA I OCHRONA DZIEDZICTWA
NARODOWEGO </t>
  </si>
  <si>
    <t>Domy i ośrodki kultury, świetlice i kluby</t>
  </si>
  <si>
    <t>Muzea</t>
  </si>
  <si>
    <t xml:space="preserve">          </t>
  </si>
  <si>
    <t>Gospodarka gruntami i nieruchomościami</t>
  </si>
  <si>
    <t>Utrzymanie zieleni w miastach i gminach</t>
  </si>
  <si>
    <t>Urzędy Wojewódzkie</t>
  </si>
  <si>
    <t>Urzędy wojewódzkie</t>
  </si>
  <si>
    <t>Pomoc materialna dla uczniów</t>
  </si>
  <si>
    <t>wpływy z usług</t>
  </si>
  <si>
    <t>wpływy z różnych dochodów</t>
  </si>
  <si>
    <t>wpływy z róznych opłat</t>
  </si>
  <si>
    <t>Wpływy z różnych rozliczeń</t>
  </si>
  <si>
    <t>podatek dochodowy od osób fizycznych</t>
  </si>
  <si>
    <t>subwencje ogólne z budżetu państwa</t>
  </si>
  <si>
    <t>Część oświatowa subwencji ogólnej dla jednostek samorządu terytorialnego</t>
  </si>
  <si>
    <t>w tym:</t>
  </si>
  <si>
    <t xml:space="preserve">w tym:wydatki bieżące
                   </t>
  </si>
  <si>
    <t>Urzędy naczelnych organów władzy
państwowej, kontroli i ochrony prawa</t>
  </si>
  <si>
    <t>Infrastruktura wodociągowa i sanitacyjna wsi</t>
  </si>
  <si>
    <t>Plany zagospodarowania przestrzennego</t>
  </si>
  <si>
    <t>Rozliczenie między jednostkami samorządu terytorialnego</t>
  </si>
  <si>
    <t>Zadania w zakresie kultury fizycznej i sportu</t>
  </si>
  <si>
    <t>wydatki
 inwest.</t>
  </si>
  <si>
    <t>wynagr
i poch.</t>
  </si>
  <si>
    <t>Gospodarka ściekowa i ochrona wód</t>
  </si>
  <si>
    <t>pozostałe odsetki</t>
  </si>
  <si>
    <t>par.</t>
  </si>
  <si>
    <t>wpływy z opłaty administracyjnej za czynności urzędowe</t>
  </si>
  <si>
    <t>Straż Miejska</t>
  </si>
  <si>
    <t>Udziały gmin w podatkach stanowiących dochód budżetu państwa</t>
  </si>
  <si>
    <t>Razem</t>
  </si>
  <si>
    <t>wpływy z różnych opłat</t>
  </si>
  <si>
    <t>podatek od czynności cywilnoprawnych</t>
  </si>
  <si>
    <t>podatek dochodowy od osób prawnych</t>
  </si>
  <si>
    <t>dywidendy i kwoty uzyskane ze zbycia praw majątkowych</t>
  </si>
  <si>
    <t>wyd.mająt.</t>
  </si>
  <si>
    <t>Towarzystwo Budownictwa Społecznego</t>
  </si>
  <si>
    <t>Pobór podatków, opłat i niepodatkowych 
należności budżetowych</t>
  </si>
  <si>
    <t>Szkoły zawodowe</t>
  </si>
  <si>
    <t>Cmentarze</t>
  </si>
  <si>
    <t>wpływy z tytułu przekształcenia prawa użytkowania
wieczystego przysługującego osobom fizycznym
w prawo własności</t>
  </si>
  <si>
    <t>Izby Rolnicze</t>
  </si>
  <si>
    <t>inne wyd.
majątk</t>
  </si>
  <si>
    <t>wydatki na 
obsł długu</t>
  </si>
  <si>
    <t>POMOC SPOŁECZNA</t>
  </si>
  <si>
    <t>Przedszkola</t>
  </si>
  <si>
    <t>Urzędy naczelnych organów władzy państwowej kontroli i ochrony prawa</t>
  </si>
  <si>
    <t>wpływy z opłaty skarbowej.</t>
  </si>
  <si>
    <t>POZOSTAŁE ZADANIA W ZAKRESIE POLITYKI SPOŁECZNEJ</t>
  </si>
  <si>
    <t>Pozostała dzialalność</t>
  </si>
  <si>
    <t>wpływy z opłaty eksploatacyjnej</t>
  </si>
  <si>
    <t>Rozliczenia z tytułu poręczeń i gwarancji udzielonych przez Skarb Państwa lub jednostkę samorządu terytorialnego</t>
  </si>
  <si>
    <t>Pozostała działaność</t>
  </si>
  <si>
    <t>Wpływy z podatku rolnego, podatku leśnego, podatku od czynności cywilnoprawnych, podatków i opłat lokalnych od osób prawnych i innych jednostek organizacyjnych</t>
  </si>
  <si>
    <t>Wpływy z podatku rolnego, podatku leśnego, podatku od sadków i darowizn, podatku od czynności cywilnoprawnych oraz podatków i opłat lokalnych od osób fizycznych</t>
  </si>
  <si>
    <t>środki na dofinansowanie własnych zadań gmin (związków gmin), powiatów (związków powiatów), samorządów województw pozyskane z innych źródeł</t>
  </si>
  <si>
    <t>otrzymane spadki,zapisy i darowizny w postaci 
pieniężnej</t>
  </si>
  <si>
    <t>wpływy z opłat za zarząd,użytkowanie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</si>
  <si>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</si>
  <si>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zad.bieżące realizowane przez gminę na podstawie porozumień z organanmi administracji rządowej</t>
  </si>
  <si>
    <t>dochody jednostek samorzadu terytorialnego związane z realizacją zadań z zakresu administracji rządowej oraz innych zadań zleconych ustawami</t>
  </si>
  <si>
    <t>grzywny, mandaty i inne kary pieniężne od ludności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</si>
  <si>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</si>
  <si>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</si>
  <si>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</si>
  <si>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</si>
  <si>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</si>
  <si>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</si>
  <si>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</si>
  <si>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 (zwiąków gmin)</t>
  </si>
  <si>
    <t>wpływy z opłat za zezwolenia na sprzedaż alkoholu</t>
  </si>
  <si>
    <t>w tym:
zadania zlecone</t>
  </si>
  <si>
    <t>RAZEM</t>
  </si>
  <si>
    <t>wpływy ze sprzedaży składników majątkowych</t>
  </si>
  <si>
    <t xml:space="preserve">wpływy ze sprzedaży składników majątkowych </t>
  </si>
  <si>
    <t>wyd.bieżące</t>
  </si>
  <si>
    <t>DOCHODY OD OSÓB PRAWNYCH, OD OSÓB FIZYCZNYCH I OD INNYCH JEDNOSTEK NIE POSIADAJĄCYCH OSOBOWOŚCI PRAWNEJ ORAZ WYDATKI ZWIĄZANE Z ICH POBOREM</t>
  </si>
  <si>
    <t>Drogi publiczne powiatowe</t>
  </si>
  <si>
    <t>Oddziały przedszkolne w szkołach podstawowych</t>
  </si>
  <si>
    <t>Dokształcanie i doskonalenie nauczycieli</t>
  </si>
  <si>
    <t>Zasiłki i pomoc w naturze oraz składki na ubezpieczenie emerytalne i rentowe</t>
  </si>
  <si>
    <t>Rehabilitacja zawodowa i społeczna osób
niepełnosprawnych</t>
  </si>
  <si>
    <t>Ośrodki wsparcia</t>
  </si>
  <si>
    <t>Część równoważąca subwencji ogólnej</t>
  </si>
  <si>
    <t>Zespoły obsługi ekonomiczno-administracyjnej szkół</t>
  </si>
  <si>
    <t>Zasiłki i pomoc w naturze oraz składki na ubezpieczenia emerytalne i rentowe</t>
  </si>
  <si>
    <t xml:space="preserve">Zasiłki i pomoc w naturze oraz składki na ubezpieczenia emerytalne i rentowe </t>
  </si>
  <si>
    <t>otrzymane spadki,zapisy i darowizny w postaci pieniężnej</t>
  </si>
  <si>
    <t>odsetki od nieterminowych wpłat z tytułu podatków i opłat</t>
  </si>
  <si>
    <t>dotacje celowe z otrzymane z budżetu państwa na realizację zadań bieżących z zakresu administracji rzadowej oraz innych zadań zleconych gminie (związkom gmin) ustawami</t>
  </si>
  <si>
    <t>dotacje celowe otrzymane z budżetu państwa na inwestycje i zakupy inwestycje z zakresu administracji rządowej oraz innych zadań zleconych gminom ustawami</t>
  </si>
  <si>
    <t xml:space="preserve">Wpływy z podatku dochodowego od osób fizycznych </t>
  </si>
  <si>
    <t>podatek od działalności gospodarczej osób fizycznych, opłacany w formie karty podatkowej</t>
  </si>
  <si>
    <t>Wpływy z innych opłat stanowiących dochody jednostek samorządu terytorialnego na podstawie ustaw</t>
  </si>
  <si>
    <t>Rozliczenia między jednostkami samorządu terytorialnego</t>
  </si>
  <si>
    <t>GOSPODARKA KOMUNALNA I OCHRONA ŚRODOWISKA</t>
  </si>
  <si>
    <t>Wyszczególnienie</t>
  </si>
  <si>
    <t>Lp.</t>
  </si>
  <si>
    <t xml:space="preserve">  </t>
  </si>
  <si>
    <t>Promocja jednostek samorządu terytorialnego</t>
  </si>
  <si>
    <t>rozdział</t>
  </si>
  <si>
    <t>kwota</t>
  </si>
  <si>
    <t>lp</t>
  </si>
  <si>
    <t xml:space="preserve">Wykaz wydatków majątkowych realizowanych na podstawie porozumień </t>
  </si>
  <si>
    <t xml:space="preserve">rozdział </t>
  </si>
  <si>
    <t>Miejski Dom Kultury</t>
  </si>
  <si>
    <t>Powiatowa i Miejska Biblioteka Publiczna</t>
  </si>
  <si>
    <t>Muzeum</t>
  </si>
  <si>
    <t>Kryta pływalnia "Opoczyńska Fala"</t>
  </si>
  <si>
    <t>Rehabilitacja zawodowa i społeczna osób 
niepełnosprawnch</t>
  </si>
  <si>
    <t>Zadania z zakresu kultury fizycznej i sportu</t>
  </si>
  <si>
    <t>OGÓŁEM PLAN DOTACJI</t>
  </si>
  <si>
    <t>Plan dochodów związanych z realizacją zadań z zakresu
administracji rządowej oraz innych zleconych ustawami</t>
  </si>
  <si>
    <t>plan
dochodów</t>
  </si>
  <si>
    <t>Administracja Publiczna</t>
  </si>
  <si>
    <t>dochody budżetu państwa związane z realizacją zadań zleconych jednostkom samorządu terytorialnego- opłaty za wydane dowody osobiste</t>
  </si>
  <si>
    <t>dochody budżetu państwa związane z realizacją zadań zleconych jednostkom samorządu terytorialnego- opłaty za udostępnienie danych osobowych</t>
  </si>
  <si>
    <t>Plan przychodów i wydatków Krytej Pływalni "Opoczyńska Fala"</t>
  </si>
  <si>
    <t>przychody</t>
  </si>
  <si>
    <t>Plan</t>
  </si>
  <si>
    <t>pozostałe przychody</t>
  </si>
  <si>
    <t>dotacja przedmiotowa z budżetu otrzymana przez zakład budżetowy</t>
  </si>
  <si>
    <t>stan środków obrotowych netto na 
początek roku</t>
  </si>
  <si>
    <t>wydatki</t>
  </si>
  <si>
    <t>wynagrodzenia osobowe pracowników i pochodne</t>
  </si>
  <si>
    <t xml:space="preserve">pozostałe wydatki bieżące </t>
  </si>
  <si>
    <t>stan środków obrotowych netto na 
koniec roku</t>
  </si>
  <si>
    <t xml:space="preserve"> PLAN DOCHODÓW na 2007 rok</t>
  </si>
  <si>
    <t>plan 2007</t>
  </si>
  <si>
    <t>dotacje otrzymane z funduszy celowych na finansowanie lub na dofinansowanie kosztów realizacji inwestycji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</si>
  <si>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</si>
  <si>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Wybory do rad gmin, rad powiatów i sejmików województw, wybory wójtów, burmistrzów i prezydentów miast oraz referenda gminne, powiatowe i wojewódzkie</t>
  </si>
  <si>
    <t>rekompensaty utraconych dochodów w podatkach i opłatach lokalnych</t>
  </si>
  <si>
    <t>wpływy z innych lokalnych opłat pobieranych przez
jednostki samorządu terytorialnego na podstawie odrębnych ustaw</t>
  </si>
  <si>
    <t>grzywny, mandaty  i inne kary pieniężne od ludności</t>
  </si>
  <si>
    <t>Świadczenie rodzinne,zaliczka alimentacyjna oraz składki na ubezpieczenia emerytalne i rentowe z ubezpieczenia społecznego</t>
  </si>
  <si>
    <t>odsetki od dotacji wykorzystanych niezgodnie 
z przeznaczeniem lub pobranych w nadmiernej wysokości</t>
  </si>
  <si>
    <t>wpływy ze zwrotów dotacji wykorzystanych niezgodnie z przeznaczeniem lub pobranych w nadmiernej wysokości</t>
  </si>
  <si>
    <t>Wczesne wspomaganie rozwoju dziecka</t>
  </si>
  <si>
    <t>PLAN WYDATKÓW NA ROK 2007</t>
  </si>
  <si>
    <t xml:space="preserve"> PLAN WYDATKÓW 
zadań zleconych na 2007 rok</t>
  </si>
  <si>
    <t>plan
2007r</t>
  </si>
  <si>
    <t>Usuwanie skutków klęsk żywiołowych</t>
  </si>
  <si>
    <t>Świadczenie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</si>
  <si>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</si>
  <si>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Zespoły ekonomiczno-administracyjne szkół</t>
  </si>
  <si>
    <t>Obsługa papierów wartościowych,
kredytów i pożyczek jednostek samorządu
terytorialnego</t>
  </si>
  <si>
    <t>grzywny i inne kary pienięzne od osób prawnych i innych jednostek organizacyjnych</t>
  </si>
  <si>
    <t xml:space="preserve">Pmoc społeczna </t>
  </si>
  <si>
    <t>dochody budżetu państwa związane z realizacją zadań zleconych jednostkom samorządu terytorialnego</t>
  </si>
  <si>
    <t>Zakłady budżetowe - dot.przedmiotowa</t>
  </si>
  <si>
    <t>Publiczne Szkoły Prywatne - dot.podmiotowa</t>
  </si>
  <si>
    <t>Instytucje Kultury - dotacja podmiotowa</t>
  </si>
  <si>
    <t>Zwalczanie narkomanii</t>
  </si>
  <si>
    <t>Nazwa projektu - zadanie inwestycyjne</t>
  </si>
  <si>
    <t xml:space="preserve">Okres realizacji </t>
  </si>
  <si>
    <t xml:space="preserve">Łączne nakłady </t>
  </si>
  <si>
    <t>Nakłady poniesione</t>
  </si>
  <si>
    <t xml:space="preserve">Nakłady do poniesienia </t>
  </si>
  <si>
    <t xml:space="preserve">Uwagi </t>
  </si>
  <si>
    <t xml:space="preserve"> Wieloletni Program Inwestycyjny </t>
  </si>
  <si>
    <t>Infrastruktura wodociągowa i 
sanitacyjna wsi</t>
  </si>
  <si>
    <t>2006-2007</t>
  </si>
  <si>
    <t>Drogi publiczne gminne-miasto</t>
  </si>
  <si>
    <t>1. Budowa chodnika z odwodnieniem od Al.. Dąbrówki do przystanku przy CPN w ul. Waryńskiego dł. 315 mb</t>
  </si>
  <si>
    <t>2005-2007</t>
  </si>
  <si>
    <t>-</t>
  </si>
  <si>
    <t xml:space="preserve">2. Budowa ul. Akacjowej dł. 700 mb </t>
  </si>
  <si>
    <t>3. PT dróg, chodników i odwodnienia bloku ul. Piotrkowska 59+zakres rzeczowy</t>
  </si>
  <si>
    <t>4.Budowa ul.Witosa wraz z nawierzchnią, chodniakmi i wjazdami dł. 350 mb</t>
  </si>
  <si>
    <t xml:space="preserve">1. Budowa budynku socjalnego </t>
  </si>
  <si>
    <t>2004-2007</t>
  </si>
  <si>
    <t>w 2006r-finansowe wsparcie z funduszu dopłat w kwocie 1.772.652,-</t>
  </si>
  <si>
    <t>BEZPIECZEŃSTWO PUBLICZNE I OCHRONA PRZECIWPOŻAROWA</t>
  </si>
  <si>
    <t>1. Rozbudowa strażnicy OSP w Dzielnej-SP Dzielna</t>
  </si>
  <si>
    <t>2005-2009</t>
  </si>
  <si>
    <t>Szkoły Podstawowe</t>
  </si>
  <si>
    <t xml:space="preserve">1. PT +zakres rzeczowy- świetlica przy ZSS nr 2 w Opocznie </t>
  </si>
  <si>
    <t>2.Budowa Sali gimnastycznej w SP w Sielcu</t>
  </si>
  <si>
    <t xml:space="preserve">3.Ogrodzenie SP Bielowice </t>
  </si>
  <si>
    <t xml:space="preserve">GOSPODARKA KOMUNALNA I I OCHRONA ŚRODOWISKA </t>
  </si>
  <si>
    <t>1.Kanał burzowy "Gorzałków" dł. 400mb</t>
  </si>
  <si>
    <t>50.000-płatne z GFOŚiGW</t>
  </si>
  <si>
    <t xml:space="preserve">1.Zakup sprzętu informatycznego  </t>
  </si>
  <si>
    <t>POMOC SPOLECZNA</t>
  </si>
  <si>
    <t>1.zakup komputerów</t>
  </si>
  <si>
    <t>PLAN DOTACJI CELOWYCH NA ZADANIA REALIZOWANE PRZEZ PODMIOTY ZALICZANE I NIEZALICZANE DO PODMIOTÓW SEKTORA FINANSÓW PUBLICZNYCH</t>
  </si>
  <si>
    <t xml:space="preserve">Wykaz dochodów realizowanych na podstawie porozumień </t>
  </si>
  <si>
    <t>Rozliczenia między jednostakami samorządu terytorialnego</t>
  </si>
  <si>
    <t>dotacje celowe otrzymane z powiatu na zadania bieżące realizowane na podstawie porozumień (umów) między jednostkami samorządu terytorialnego - bieżące utrzymanie dróg powiatowych</t>
  </si>
  <si>
    <t>wydatki na pomoc finansową udzielaną między 
jendostkami samorządu terytorialnego na 
dofinansowanie własnych zadań inwestycyjnych 
i zakupów inwestycyjnych</t>
  </si>
  <si>
    <t>1.Powiat-przebudowa drogi nr 3103E na odcinku 
Antoniów-Kraśnica dł.3500mb</t>
  </si>
  <si>
    <t>2.Powiat - przebudowa drogi powiatowej nr 3103E
 na odcinku Opoczno-Wygnanów</t>
  </si>
  <si>
    <t>3.Powiat-adaptacja budynku dla potrzeb Środowiskowego Domu Samopomocy</t>
  </si>
  <si>
    <t>4.Województwo - budowa chodnika w m. Januszewice
dł.1.300 mb PT wraz z odwodnienniem</t>
  </si>
  <si>
    <t>PLAN DOTACJI NA ROK 2007</t>
  </si>
  <si>
    <t xml:space="preserve">1. Aktywizacja wschodniej części gminy poprzez budowę infrastruktury wodociągowej i kanalizacyjnej </t>
  </si>
  <si>
    <t>2003-2007</t>
  </si>
  <si>
    <t xml:space="preserve">4. Adaptacja pomieszczeń szkoły na świetlice wiejską w m. Kruszewiec </t>
  </si>
  <si>
    <t>3.Odwodnienie ul. Rolna dł. 134,5 m</t>
  </si>
  <si>
    <t>1. Sieci elektroenergetyczne i oświetleniowe Różanna dł. 300 m,</t>
  </si>
  <si>
    <t>wykup gruntów</t>
  </si>
  <si>
    <t>Oświetlenie uliczne</t>
  </si>
  <si>
    <t>wykonanie
2006</t>
  </si>
  <si>
    <t>podatek od posiadania psów</t>
  </si>
  <si>
    <t>wykonanie 2006</t>
  </si>
  <si>
    <t>URZĘDY NACZELNYCH ORGANÓW
WŁADZY PAŃSTWOWEJ, KONTROLI I OCHRONY PRAWA ORAZ SĄDOWNICTWA</t>
  </si>
  <si>
    <t>100.000-płatne z GFOŚiGW</t>
  </si>
  <si>
    <t>Plan przychodów i wydatków Gminnego Funduszu</t>
  </si>
  <si>
    <t>Ochrony Środowiska i Gospodarki Wodnej</t>
  </si>
  <si>
    <t>w złotych</t>
  </si>
  <si>
    <t>Plan na 2007 r.</t>
  </si>
  <si>
    <t>I.</t>
  </si>
  <si>
    <t>Stan środków obrotowych na początek roku</t>
  </si>
  <si>
    <t>II.</t>
  </si>
  <si>
    <t>Przychody</t>
  </si>
  <si>
    <t>1.</t>
  </si>
  <si>
    <t xml:space="preserve">wpływy z tytułu opłat </t>
  </si>
  <si>
    <t>III.</t>
  </si>
  <si>
    <t>Wydatki</t>
  </si>
  <si>
    <t>Wydatki bieżące</t>
  </si>
  <si>
    <t xml:space="preserve">utylizacja wyrobów azbestowych </t>
  </si>
  <si>
    <t>edukacja ekologiczna (szkolenia, konkursy)</t>
  </si>
  <si>
    <t>dopłata do segregacji odpadów</t>
  </si>
  <si>
    <t xml:space="preserve">ratowanie gniazd bociana białego </t>
  </si>
  <si>
    <t xml:space="preserve">opracowanie raportów z realizacji programu ochrony środowiska i planu 
gospodarki odpadami </t>
  </si>
  <si>
    <t>2.</t>
  </si>
  <si>
    <t>Wydatki majątkowe</t>
  </si>
  <si>
    <t>Kanał burzowy "Gorzałków" dł. 400mb</t>
  </si>
  <si>
    <t>Budowa wodociągu - zakres rzeczowy ul.Wałowa dł.500 mb</t>
  </si>
  <si>
    <t>IV.</t>
  </si>
  <si>
    <t>Stan środków obrotowych na koniec roku</t>
  </si>
  <si>
    <t>Przychody i rozchody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</si>
  <si>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</si>
  <si>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</si>
  <si>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</si>
  <si>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</si>
  <si>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</si>
  <si>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</si>
  <si>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</si>
  <si>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</si>
  <si>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</si>
  <si>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</si>
  <si>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</si>
  <si>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</si>
  <si>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</si>
  <si>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</si>
  <si>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</si>
  <si>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</si>
  <si>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</si>
  <si>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</si>
  <si>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</si>
  <si>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</si>
  <si>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</si>
  <si>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</si>
  <si>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</si>
  <si>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</si>
  <si>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</si>
  <si>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</si>
  <si>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</si>
  <si>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</si>
  <si>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</si>
  <si>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</si>
  <si>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</si>
  <si>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</si>
  <si>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</si>
  <si>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</si>
  <si>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</si>
  <si>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</si>
  <si>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</si>
  <si>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</si>
  <si>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</si>
  <si>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Drogi publiczne gminne-gmina</t>
  </si>
  <si>
    <t>1.Droga Mroczków Gościnny-Wólka Karwicka
 dł. 250mb (nawierzchnia)</t>
  </si>
  <si>
    <t>2007-2008</t>
  </si>
  <si>
    <t xml:space="preserve">6.Modernizacja ul.Armii Ludowej dł. 233mb (od ul.Partyzantów do ul.Kopernika) wraz z kanalizacją deszczową </t>
  </si>
  <si>
    <t>5.Budowa Sali gimnastycznej w SP w Bielowicach</t>
  </si>
  <si>
    <t>2.Oświetlenie drogi Ogonowice - Ostrów + PT dł. 1000 mb</t>
  </si>
  <si>
    <t>3.Oswietlenie uliczne w m.Bielowice dł.585 mb</t>
  </si>
  <si>
    <t>2002-2007</t>
  </si>
  <si>
    <t>4. Oświetlenie uliczne Bukowiec-Sobawiny dł 315 mb</t>
  </si>
  <si>
    <t>5.Oswietlenie uliczne Wola Załęzna "Pawłówka" dł. 710 mb</t>
  </si>
  <si>
    <t>1. PT renowacji i odbudowy zalewu w Opocznie Pow. zb. 6,15 ha,pojemność 88.230 m3</t>
  </si>
  <si>
    <t>2. PT infrastruktury technicznej Opoczyńskiej Strefy Przemysłowej-sieci elektroenergetyczne</t>
  </si>
  <si>
    <t xml:space="preserve">3. PT budowy garaży na os. Wyszyńskiego (300 szt. ) </t>
  </si>
  <si>
    <t>4.Zakup węzła cieplnego usytuowanego w ZSS nr3</t>
  </si>
  <si>
    <t>6.Modernizacja i budowa węzłów cieplnych szt.2 w blokach ul.Słowackiego 7, 9 + PT</t>
  </si>
  <si>
    <t>7.Budowa peronu kolejowego "Opoczno-Południe"</t>
  </si>
  <si>
    <t>7.Przebudowa zasilania w energię elektryczną MPK w Opocznie + PT</t>
  </si>
  <si>
    <t xml:space="preserve">WIELOLETNI    PROGRAM    INWESTYCYJNY na lata 2007 - 2009     </t>
  </si>
  <si>
    <t xml:space="preserve">dotacja 2007r. z Funduszu Rozwoju Kultury Fizycznej 
397.000 zł. </t>
  </si>
  <si>
    <t>Budowa infrastruktury wodno-ściekowej na terenie gminy Opoczno</t>
  </si>
  <si>
    <t>dofin PKP -1.000.000,-</t>
  </si>
  <si>
    <t>104.000 -GFOSiGW</t>
  </si>
  <si>
    <t>2006-2013</t>
  </si>
  <si>
    <t>Modernizacja oczyszczalni ścieków w Opocznie+PT</t>
  </si>
  <si>
    <t>Budowa kolektora deszczowego w opocznie + PT</t>
  </si>
  <si>
    <t>2007-2013</t>
  </si>
  <si>
    <t>modernizacja ujęcia wody w Opocznie + PT</t>
  </si>
  <si>
    <t>studium wykonalności</t>
  </si>
  <si>
    <t>wniosek aplikacyjny</t>
  </si>
  <si>
    <t>dokumentacja przetargowa</t>
  </si>
  <si>
    <t>nadzór inwestorski, wnioski o płatność</t>
  </si>
  <si>
    <t>Modernizacja układu komuniakcyjnego miasta 
Opoczno</t>
  </si>
  <si>
    <t>2007-2010</t>
  </si>
  <si>
    <t>PT w 2008r-120.000</t>
  </si>
  <si>
    <t>Modernizacja dróg osiedla Ustronie dł.5400 mb</t>
  </si>
  <si>
    <t>2005-2011</t>
  </si>
  <si>
    <t>2004-2009</t>
  </si>
  <si>
    <t>Modernizacja dróg osiedla bloków ul.Konopnickiej, 
Norwida, Biernackiego, Słowackiego dł. 2200 mb (w tym przebudowa nawierzchni) + PT</t>
  </si>
  <si>
    <t>2006-2010</t>
  </si>
  <si>
    <t>2006-2011</t>
  </si>
  <si>
    <t>Modernizacja dróg osiedla Trąbki:ul.Hubala, Chopina, Starzyńskiego, Nowa, Żesławskiego dł. 1360 mb + PT</t>
  </si>
  <si>
    <t>2007-2011</t>
  </si>
  <si>
    <t>2008-2011</t>
  </si>
  <si>
    <t>Modernizacja dróg gminnych o łącznej długości 1880 mb w gminie Opoczno</t>
  </si>
  <si>
    <t>Modernizacja drogi przez wieś Sobawiny dł.670 mb</t>
  </si>
  <si>
    <t>Modernizacja drogi przez wieś Brzustówek dł. 32omb</t>
  </si>
  <si>
    <t>Modernizacja drogi przez wieś Mroczków Duży 
dł.430 mb</t>
  </si>
  <si>
    <t>Budowa chodnika w m.Libiszów dł. 400 mb</t>
  </si>
  <si>
    <t>Modernizacja drogi przez wieś Modrzewek dł.460 mb</t>
  </si>
  <si>
    <t>2005-2008</t>
  </si>
  <si>
    <t>Budowa ul.Jana Pawła II (od ul.Partyzantów do 
ul. Przemysłowej) dł.1000 mb + PT</t>
  </si>
  <si>
    <t>2011-2012</t>
  </si>
  <si>
    <t>Modernizacja drogi Stużno Wieś-Mroczków Duży 
dł. 3650 mb</t>
  </si>
  <si>
    <t>Modernizacja drogi Brzustówek Kolonia (do drogi w gm.Sławno) dł.1100 mb</t>
  </si>
  <si>
    <t>2006-2008</t>
  </si>
  <si>
    <t>Budowa kanalizacji deszczowej ul.Piotrkowska 53 
dł. 415 mb</t>
  </si>
  <si>
    <t>Bdowa kanalizacji deszczowej w ul.Małachowskeigo 
dł.201 mb</t>
  </si>
  <si>
    <t>Budowa infrastruktury technicznej Opoczyńskiej Strefy 
Przemysłowej: sieć wodociągowa dł. 1188 mb, kanalizacja sanitarna dł. 677 mb</t>
  </si>
  <si>
    <t xml:space="preserve">Budowa świetlic wiejskich w gm Opoczno </t>
  </si>
  <si>
    <t>Budowa świetlica wiejskiej w Modrzewiu</t>
  </si>
  <si>
    <t>Budowa świetlica wiejskiej w Ogonowicach</t>
  </si>
  <si>
    <t>Budowa świetlica wiejskiej w Karwicach</t>
  </si>
  <si>
    <t>Termomodernizacja świetlicy w Stużnie</t>
  </si>
  <si>
    <t>2007-2009</t>
  </si>
  <si>
    <t>Przebudowa Patio wraz z termomodernizacją MDK 
w Opocznie</t>
  </si>
  <si>
    <t>Budowa biosk sportowych w gminie Opoczno</t>
  </si>
  <si>
    <t>2006-2009</t>
  </si>
  <si>
    <t>Budowa zespołu rekreacyjno-sportowego przy 
ZSS nr 1 w Opocznie</t>
  </si>
  <si>
    <t>2009-2012</t>
  </si>
  <si>
    <t xml:space="preserve">OGÓŁEM </t>
  </si>
  <si>
    <t xml:space="preserve">zadanie współfinansowane 
ze środków UE </t>
  </si>
  <si>
    <t>PT w 2008r-60.000</t>
  </si>
  <si>
    <t>PT w 2008r-280.000</t>
  </si>
  <si>
    <t>PT w 2007 r</t>
  </si>
  <si>
    <t>PT w 2008r-168.000</t>
  </si>
  <si>
    <t>PT w 2008r-236.000</t>
  </si>
  <si>
    <t>PT  2007r.</t>
  </si>
  <si>
    <t>zadanie współfinansowane 
ze środków UE-85%</t>
  </si>
  <si>
    <t>Fundusz Spójności 
103.700.000
WFOŚIGW-14.640.000
śr.własne-3.660.000</t>
  </si>
  <si>
    <t>w 2007 poz WFOŚiGW
1.395.000</t>
  </si>
  <si>
    <t>w 2007 poz WFOŚiGW
45.000</t>
  </si>
  <si>
    <t>w 2007 poz WFOŚiGW
165.000</t>
  </si>
  <si>
    <t xml:space="preserve">Modernizacja drogi Wola Załężna-Dzielna z przebudową mostu w Woli Załężnej dl. 2000 mb + PT </t>
  </si>
  <si>
    <t>WIELOLETNI    PROGRAM    INWESTYCYJNY na lata 2007-2013 przy udziale  środków UE</t>
  </si>
  <si>
    <t xml:space="preserve">w tym:   </t>
  </si>
  <si>
    <t xml:space="preserve">
środki GFOŚiGW - 2007 rok</t>
  </si>
  <si>
    <t>środki Funduszu Rozwoju Kultury Fizycznej</t>
  </si>
  <si>
    <t>5.Budowa + PT włączenia ul.Długiej w ul.Przemysłową dł. 200mb</t>
  </si>
  <si>
    <t xml:space="preserve">1.Modernizacja świtlicy w Kraśnicy </t>
  </si>
  <si>
    <t>6. Przebudowa linii 15 Kv na osiedlu Milenijnym w Opocznie</t>
  </si>
  <si>
    <t>Budowa dróg dojazdowych do Opoczyńskiej Strefy 
Przemysłowej:ul.Swierkowa (od ul.Przemysłowej do ul.Partyzantów) dł.750 mb+ul.Przemysłowa dł.1450mb (w tym: przebudowa nawierzchni 900mb) + PT</t>
  </si>
  <si>
    <t>Modernizacja dróg osiedla Piastowskiego dł 750mb</t>
  </si>
  <si>
    <t>Budowa dróg osiedla Milenijnego z oświetleniem 
ulicznym dł 18 km ul.Kwiatowa, Liliowa, Różana, Krokusowa,Rolna, Św.Pawła, Św.Piotra, Św.Mateusza, Św.Marka, M.C.Skłodowskiej dł,4400 mb (w tym przebudowa nawierzchni dł.1150 mb) +PT</t>
  </si>
  <si>
    <t>2004-2010</t>
  </si>
  <si>
    <t>Modernizacja dróg osiedla Kolejowego:ul.Kopernika, 
Skalna, Kuligowska, Towarowa (skrzyżowanie z ul.Kolejową z odwodnieniem) dł. 3170 mb + PT</t>
  </si>
  <si>
    <t>Modernizacja dróg ul.Graniczna, Słoneczna, Aleja 
Sportowa, Zjazdowa, Garncarska, Jana Pawła II (od ul.Inowłodzkiej do ul.Partyzantów), Staszica, Kolejowa, Towarowa, skrzyżowanie ul. Św.Mateusza z ul.Inowłodzką dł. 4300 mb + PT</t>
  </si>
  <si>
    <t>studium wykanalności, wniosek aplikacyjny</t>
  </si>
  <si>
    <t>Kanalizacja sanitarna gminy Opoczno + PT</t>
  </si>
  <si>
    <t>2008-2013</t>
  </si>
  <si>
    <t>Zapewnienie prawidłowej gospodarki wodnej w 
wybranych obszarach miasta Opoczno</t>
  </si>
  <si>
    <t>studium wykonalności, wniosek aplikacyjny</t>
  </si>
  <si>
    <t>Budowa świetlica wiejskiej w Mroczkowie Gościnnym</t>
  </si>
  <si>
    <t>Studium wykonalności, wniosek aplikacyjny</t>
  </si>
  <si>
    <t>Budowa boiska sportowego w m.Januszewice</t>
  </si>
  <si>
    <t>Budowa boiska sportowego w m. Libiszów</t>
  </si>
  <si>
    <t>Budowa boiska sportowego w m.Sitowa</t>
  </si>
  <si>
    <t>2005-2010</t>
  </si>
  <si>
    <t>zadanie współfinansowane ze środków UE 
2007-PT, studium 
wykonalnosci, wnisek aplikacyjny</t>
  </si>
  <si>
    <t>2.Budowa wodociągu ul.Wałowa dł.500 mb +PT</t>
  </si>
  <si>
    <t>Kultura i ochrona dziedzictwa narodowego</t>
  </si>
  <si>
    <t>Budowa zakladu unieszkodliwiania odpadów w Różannie + PT i studium wykonalności i wniosek aplikacyjny</t>
  </si>
  <si>
    <t>dotacje 
na zadania bieżące</t>
  </si>
  <si>
    <t>dotacje 
na zadania inwestycyjne</t>
  </si>
  <si>
    <t xml:space="preserve">Ochotnicza Straż Pożarna </t>
  </si>
  <si>
    <r>
      <t>poz.1</t>
    </r>
    <r>
      <rPr>
        <sz val="10"/>
        <rFont val="Arial CE"/>
        <family val="0"/>
      </rPr>
      <t xml:space="preserve"> dotyczy karosacji samochodu ppoż.Ochotnicza Straż Pożarna w Kraszkowie - Jecz</t>
    </r>
  </si>
  <si>
    <t>Modernizacja i budowa węzłów cieplnych szt.2 w blokach ul.Słowackiego 7, 9 + PT</t>
  </si>
  <si>
    <t>Budowa boiska sportowego w m.Ostrów</t>
  </si>
  <si>
    <t>2008-2009</t>
  </si>
  <si>
    <t>PT 2008r-20.000</t>
  </si>
  <si>
    <t>8.Budowa oświetlenia ulicznego Mroczków Gościnny-Mroczków Duży dł.500mb + PT</t>
  </si>
  <si>
    <t>8.Modernizacja targowisk miejskich przy Al.Sportowej i ul.Piotrkowskiej ora rozbudowa parkingu przy ul.Biernackiego-Kopernika + PT</t>
  </si>
  <si>
    <t>5.Roboty budowlane wewnętrzne w budynku komunalnym pl.Kościuszki 15</t>
  </si>
  <si>
    <t>Adaptacja pomieszczeń na kotłownię w bloku w Mroczkowie Gościnnym 20A</t>
  </si>
  <si>
    <t>Załącznik Nr 2
do Uchwały Nr V/46/07
Rady Miejskiej w Opocznie
z dnia 29 marca 2007 r.</t>
  </si>
  <si>
    <t>Załącznik Nr 1
do Uchwały Nr V/46/07
Rady Miejskiej w Opocznie
z dnia 29 marca 2007 r.</t>
  </si>
  <si>
    <t>Załącznik Nr 3
do Uchwały Nr V/46/07
Rady Miejskiej w Opocznie 
z dnia 29 marca 2007 r.</t>
  </si>
  <si>
    <t>Załącznik nr 4
do Uchwały Nr V/46/07
Rady Miejskiej w Opocznie
z dnia 29 marca 2007 r.</t>
  </si>
  <si>
    <t>Załącznik nr 5
do Uchwały Nr V/46/07
Rady Miejskiej w Opocznie
z dnia 29 marca 2007 r.</t>
  </si>
  <si>
    <t>Załącznik nr 7
do Uchwały Nr V/46/07
Rady Miejskiej w Opocznie
z dnia 29 marca 2007 r.</t>
  </si>
  <si>
    <t>Załącznik nr 9
do Uchwały Nr V/46/07
Rady Miejskiej w Opocznie
z dnia 29 marca 2007 r.</t>
  </si>
  <si>
    <t>Załącznik nr 11
do Uchwały Nr V/46/07 r.
Rady Miejskiej w Opocznie
z dnia 29 marca 2007 r.</t>
  </si>
  <si>
    <t>Załącznik Nr 8
do Uchwały Nr V/46/07 
Rady Miejskiej w Opocznie
z dnia 29 marca 2007 r.</t>
  </si>
  <si>
    <t>Załącznik Nr 10
do Uchwały Nr V/46/07
Rady Miejskiej w Opocznie
z dnia  29 marca 2007 roku</t>
  </si>
  <si>
    <t>Załacznik Nr 6
do Uchwały Nr V/46/07 
Rady Miejskiej w Opocznie 
z dnia 29 marca 2007 r.</t>
  </si>
  <si>
    <t>Załącznik nr 5a
do Uchwały Nr V/46/07 
Rady Miejskiej w Opocznie
z dnia 29 marca 2007 r.</t>
  </si>
  <si>
    <t>Zadania inwestycyjne w 2007 r.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</si>
  <si>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</si>
  <si>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</si>
  <si>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</si>
  <si>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</si>
  <si>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</si>
  <si>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</si>
  <si>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</si>
  <si>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</si>
  <si>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</si>
  <si>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</si>
  <si>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</si>
  <si>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</si>
  <si>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</si>
  <si>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I Projekty współfinansowane ze środków Unii Europejskiej</t>
  </si>
  <si>
    <t>Transport i łączność</t>
  </si>
  <si>
    <t xml:space="preserve">Drogi publiczne gminne </t>
  </si>
  <si>
    <t>Modernizacja układu komunikacyjnego miasta Opoczno</t>
  </si>
  <si>
    <t>Urząd Miejski 
w Opocznie</t>
  </si>
  <si>
    <t>Modernizacja dró osiedla Kolejowego:ul.Kopernika, 
Skalna, Kuligowska, Towarowa (skrzyżowanie z ul.Kolejową z odwodnieniem) dł. 3170 mb + PT</t>
  </si>
  <si>
    <t>studium wykonanlnośći</t>
  </si>
  <si>
    <t>studium wykonanlnośći, wniosek aplikacyjny</t>
  </si>
  <si>
    <t>Gospodarka komunalna i ochrona środowiska</t>
  </si>
  <si>
    <t>Kanalizacja sanitarna gminy + PT</t>
  </si>
  <si>
    <t>Zapewnienie prawidłowej gospodarki wodnej w 
wybranych obszarach mista Opoczno</t>
  </si>
  <si>
    <t xml:space="preserve">3. </t>
  </si>
  <si>
    <t>Kultura fizyczna i sport</t>
  </si>
  <si>
    <t>Budowa boiska sportoweogo w m.Januszewice</t>
  </si>
  <si>
    <t>Budowa boiska sportoweogo w m. Libiszów</t>
  </si>
  <si>
    <t>Budowa boiska sportoweogo w m.Sitowa</t>
  </si>
  <si>
    <t>Razem I</t>
  </si>
  <si>
    <t xml:space="preserve">II Wieloletni Program Inwestycyjny </t>
  </si>
  <si>
    <t xml:space="preserve">Aktywizacja wschodniej części gminy poprzez budowę infrastruktury wodociągowej i kanalizacyjnej </t>
  </si>
  <si>
    <t>Budowa chodnika z odwodnieniem od Al.. Dąbrówki do przystanku przy CPN w ul. Waryńskiego dł. 315 mb</t>
  </si>
  <si>
    <t xml:space="preserve">Budowa ul. Akacjowej dł. 700 mb </t>
  </si>
  <si>
    <t>PT dróg, chodników i odwodnienia bloku ul. Piotrkowska 59+zakres rzeczowy</t>
  </si>
  <si>
    <t>Budowa ul.Witosa wraz z nawierzchnią, chodnikami i wjazdami dł. 350 mb</t>
  </si>
  <si>
    <t>Budowa + PT włązcenia ul.Długiej w ul.Przemysłową dł. 200mb</t>
  </si>
  <si>
    <t xml:space="preserve">Modernizacja ul.Armii Ludowej dł. 233mb (od ul.Partyzantów do ul.Kopernika) wraz z kanalizacją deszczową </t>
  </si>
  <si>
    <t>Droga Mroczków Gościnny-Wólka Karwicka
 dł. 250mb (nawierzchnia)</t>
  </si>
  <si>
    <t xml:space="preserve">Budowa budynku socjalnego </t>
  </si>
  <si>
    <t xml:space="preserve">Zakup sprzętu informatycznego  </t>
  </si>
  <si>
    <t>Rozbudowa strażnicy OSP w Dzielnej-SP Dzielna</t>
  </si>
  <si>
    <t xml:space="preserve">PT +zakres rzeczowy- świetlica przy ZSS nr 2 w Opocznie </t>
  </si>
  <si>
    <t>Budowa Sali gimnastycznej w SP w Sielcu</t>
  </si>
  <si>
    <t>A - 397 000</t>
  </si>
  <si>
    <t xml:space="preserve">Ogrodzenie SP Bielowice </t>
  </si>
  <si>
    <t xml:space="preserve">Adaptacja pomieszczeń szkoły na świetlice wiejską w m. Kruszewiec </t>
  </si>
  <si>
    <t>Ośrodek Pomocy
Społecznej</t>
  </si>
  <si>
    <t>C - 50 000</t>
  </si>
  <si>
    <t>Budowa wodociągu PT+zakres rzeczowy ul.Wałowa dł.500 mb</t>
  </si>
  <si>
    <t>C - 100 000</t>
  </si>
  <si>
    <t>Odwodnienie ul. Rolna dł. 134,5 m</t>
  </si>
  <si>
    <t>Sieci elektroenergetyczne i oświetleniowe Różanna dł. 300 m,</t>
  </si>
  <si>
    <t>Oświetlenie drogi Ogonowice - Ostrów + PT dł. 1000 mb</t>
  </si>
  <si>
    <t>Oswietlenie uliczne w m.Bielowice dł.585 mb</t>
  </si>
  <si>
    <t>Oświetlenie uliczne Bukowiec-Sobawiny dł 315 mb</t>
  </si>
  <si>
    <t>Oswietlenie uliczne Wola Załęzna "Pawłówka" dł. 710 mb</t>
  </si>
  <si>
    <t>Przebudowa zasilania w energię elektryczną MPK w Opocznie + PT</t>
  </si>
  <si>
    <t>Budowa oświetlenia ulicznego Mroczków Gościnny-Mroczków Duży dł.500mb + PT</t>
  </si>
  <si>
    <t>PT renowacji i odbudowy zalewu w Opocznie Pow. zb. 6,15 ha,pojemność 88.230 m3</t>
  </si>
  <si>
    <t>PT infrastruktury technicznej Opoczyńskiej Strefy Przemysłowej-sieci elektroenergetyczne</t>
  </si>
  <si>
    <t xml:space="preserve">PT budowy garaży na os. Wyszyńskiego (300 szt. ) </t>
  </si>
  <si>
    <t>Roboty budowlane wewnątrz budynku komunalnego pl.Kościuszki 15</t>
  </si>
  <si>
    <t>C-104 000</t>
  </si>
  <si>
    <t>Budowa peronu kolejowego "Opoczno-Południe"</t>
  </si>
  <si>
    <t>Modernizacja targowisk miejskich przy Al.Sportowej i ul.Piotrkowskiej oraz rozbudowa parkingu przy ul.Biernackiego-Kopernika + PT</t>
  </si>
  <si>
    <t>Zakup węzła cieplnego usytuowanego w ZSS nr3</t>
  </si>
  <si>
    <t>9.</t>
  </si>
  <si>
    <t>Modernizacja świetlicy w Kraśnicy</t>
  </si>
  <si>
    <t>Razem II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</si>
  <si>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</si>
  <si>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</si>
  <si>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</si>
  <si>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</si>
  <si>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</si>
  <si>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GFOŚiGW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</si>
</sst>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00"/>
    <numFmt numFmtId="166" formatCode="00000"/>
    <numFmt numFmtId="167" formatCode="0000"/>
    <numFmt numFmtId="168" formatCode="#,##0.0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sz val="7"/>
      <name val="Arial CE"/>
      <family val="0"/>
    </font>
    <font>
      <sz val="6"/>
      <name val="Arial CE"/>
      <family val="0"/>
    </font>
    <font>
      <b/>
      <sz val="7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30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5" fontId="6" fillId="0" borderId="13" xfId="0" applyNumberFormat="1" applyFont="1" applyFill="1" applyBorder="1" applyAlignment="1">
      <alignment/>
    </xf>
    <xf numFmtId="166" fontId="6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165" fontId="5" fillId="0" borderId="15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166" fontId="5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right" vertical="center"/>
    </xf>
    <xf numFmtId="166" fontId="6" fillId="0" borderId="17" xfId="0" applyNumberFormat="1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vertical="top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29" xfId="0" applyFont="1" applyFill="1" applyBorder="1" applyAlignment="1">
      <alignment wrapText="1"/>
    </xf>
    <xf numFmtId="165" fontId="5" fillId="0" borderId="3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4" fontId="5" fillId="0" borderId="0" xfId="0" applyNumberFormat="1" applyFont="1" applyAlignment="1">
      <alignment/>
    </xf>
    <xf numFmtId="4" fontId="6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3" fontId="6" fillId="0" borderId="28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8" fillId="0" borderId="29" xfId="0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8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3" fontId="8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wrapText="1"/>
    </xf>
    <xf numFmtId="3" fontId="5" fillId="0" borderId="3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5" fillId="0" borderId="13" xfId="0" applyFont="1" applyBorder="1" applyAlignment="1">
      <alignment vertical="top"/>
    </xf>
    <xf numFmtId="0" fontId="1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66" fontId="5" fillId="0" borderId="12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66" fontId="5" fillId="0" borderId="1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9" fillId="0" borderId="14" xfId="0" applyNumberFormat="1" applyFont="1" applyFill="1" applyBorder="1" applyAlignment="1">
      <alignment wrapText="1"/>
    </xf>
    <xf numFmtId="3" fontId="9" fillId="0" borderId="39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8" fillId="0" borderId="15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8" fillId="0" borderId="44" xfId="0" applyFont="1" applyBorder="1" applyAlignment="1">
      <alignment horizontal="center" vertical="center"/>
    </xf>
    <xf numFmtId="3" fontId="9" fillId="0" borderId="45" xfId="0" applyNumberFormat="1" applyFont="1" applyFill="1" applyBorder="1" applyAlignment="1">
      <alignment/>
    </xf>
    <xf numFmtId="3" fontId="8" fillId="0" borderId="43" xfId="0" applyNumberFormat="1" applyFont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 wrapText="1"/>
    </xf>
    <xf numFmtId="3" fontId="9" fillId="0" borderId="12" xfId="0" applyNumberFormat="1" applyFont="1" applyBorder="1" applyAlignment="1">
      <alignment/>
    </xf>
    <xf numFmtId="3" fontId="9" fillId="0" borderId="40" xfId="0" applyNumberFormat="1" applyFont="1" applyFill="1" applyBorder="1" applyAlignment="1">
      <alignment wrapText="1"/>
    </xf>
    <xf numFmtId="3" fontId="8" fillId="0" borderId="3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9" fillId="0" borderId="46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9" fillId="0" borderId="17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46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1" fillId="0" borderId="13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9" fillId="0" borderId="43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14" xfId="0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vertical="center" textRotation="90"/>
    </xf>
    <xf numFmtId="0" fontId="9" fillId="0" borderId="17" xfId="0" applyFont="1" applyBorder="1" applyAlignment="1">
      <alignment/>
    </xf>
    <xf numFmtId="165" fontId="9" fillId="0" borderId="13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3" fontId="8" fillId="0" borderId="17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3" fontId="8" fillId="0" borderId="12" xfId="0" applyNumberFormat="1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12" xfId="0" applyNumberFormat="1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3" fontId="8" fillId="0" borderId="15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8" fillId="0" borderId="22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47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wrapText="1"/>
    </xf>
    <xf numFmtId="4" fontId="8" fillId="0" borderId="15" xfId="0" applyNumberFormat="1" applyFont="1" applyBorder="1" applyAlignment="1">
      <alignment horizontal="right"/>
    </xf>
    <xf numFmtId="0" fontId="9" fillId="0" borderId="49" xfId="0" applyFont="1" applyBorder="1" applyAlignment="1">
      <alignment/>
    </xf>
    <xf numFmtId="0" fontId="8" fillId="0" borderId="22" xfId="0" applyFont="1" applyBorder="1" applyAlignment="1">
      <alignment wrapText="1"/>
    </xf>
    <xf numFmtId="4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4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wrapText="1"/>
    </xf>
    <xf numFmtId="4" fontId="9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wrapText="1"/>
    </xf>
    <xf numFmtId="4" fontId="8" fillId="0" borderId="15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3" fontId="9" fillId="0" borderId="46" xfId="0" applyNumberFormat="1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wrapText="1"/>
    </xf>
    <xf numFmtId="167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/>
    </xf>
    <xf numFmtId="3" fontId="8" fillId="0" borderId="24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165" fontId="9" fillId="0" borderId="52" xfId="0" applyNumberFormat="1" applyFont="1" applyFill="1" applyBorder="1" applyAlignment="1">
      <alignment horizontal="right"/>
    </xf>
    <xf numFmtId="166" fontId="9" fillId="0" borderId="53" xfId="0" applyNumberFormat="1" applyFont="1" applyFill="1" applyBorder="1" applyAlignment="1">
      <alignment horizontal="center"/>
    </xf>
    <xf numFmtId="167" fontId="9" fillId="0" borderId="46" xfId="0" applyNumberFormat="1" applyFont="1" applyFill="1" applyBorder="1" applyAlignment="1">
      <alignment horizontal="center"/>
    </xf>
    <xf numFmtId="165" fontId="8" fillId="0" borderId="13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center"/>
    </xf>
    <xf numFmtId="165" fontId="8" fillId="0" borderId="54" xfId="0" applyNumberFormat="1" applyFont="1" applyBorder="1" applyAlignment="1">
      <alignment horizontal="right"/>
    </xf>
    <xf numFmtId="166" fontId="8" fillId="0" borderId="22" xfId="0" applyNumberFormat="1" applyFont="1" applyBorder="1" applyAlignment="1">
      <alignment horizontal="center"/>
    </xf>
    <xf numFmtId="167" fontId="8" fillId="0" borderId="22" xfId="0" applyNumberFormat="1" applyFont="1" applyBorder="1" applyAlignment="1">
      <alignment horizontal="center"/>
    </xf>
    <xf numFmtId="165" fontId="9" fillId="0" borderId="53" xfId="0" applyNumberFormat="1" applyFont="1" applyFill="1" applyBorder="1" applyAlignment="1">
      <alignment horizontal="right"/>
    </xf>
    <xf numFmtId="166" fontId="9" fillId="0" borderId="1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5" fontId="9" fillId="0" borderId="13" xfId="0" applyNumberFormat="1" applyFont="1" applyBorder="1" applyAlignment="1">
      <alignment horizontal="right"/>
    </xf>
    <xf numFmtId="167" fontId="8" fillId="0" borderId="15" xfId="0" applyNumberFormat="1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66" fontId="9" fillId="0" borderId="46" xfId="0" applyNumberFormat="1" applyFont="1" applyFill="1" applyBorder="1" applyAlignment="1">
      <alignment horizontal="center"/>
    </xf>
    <xf numFmtId="165" fontId="8" fillId="0" borderId="15" xfId="0" applyNumberFormat="1" applyFont="1" applyBorder="1" applyAlignment="1">
      <alignment horizontal="right"/>
    </xf>
    <xf numFmtId="166" fontId="8" fillId="0" borderId="15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15" fillId="0" borderId="12" xfId="0" applyNumberFormat="1" applyFont="1" applyBorder="1" applyAlignment="1">
      <alignment horizontal="right"/>
    </xf>
    <xf numFmtId="166" fontId="9" fillId="0" borderId="12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5" fontId="9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center"/>
    </xf>
    <xf numFmtId="167" fontId="9" fillId="0" borderId="13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center"/>
    </xf>
    <xf numFmtId="167" fontId="8" fillId="0" borderId="13" xfId="0" applyNumberFormat="1" applyFont="1" applyFill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 horizontal="right"/>
    </xf>
    <xf numFmtId="167" fontId="8" fillId="0" borderId="22" xfId="0" applyNumberFormat="1" applyFont="1" applyFill="1" applyBorder="1" applyAlignment="1">
      <alignment horizontal="center"/>
    </xf>
    <xf numFmtId="165" fontId="9" fillId="0" borderId="16" xfId="0" applyNumberFormat="1" applyFont="1" applyFill="1" applyBorder="1" applyAlignment="1">
      <alignment/>
    </xf>
    <xf numFmtId="166" fontId="9" fillId="0" borderId="17" xfId="0" applyNumberFormat="1" applyFont="1" applyFill="1" applyBorder="1" applyAlignment="1">
      <alignment/>
    </xf>
    <xf numFmtId="167" fontId="8" fillId="0" borderId="20" xfId="0" applyNumberFormat="1" applyFont="1" applyFill="1" applyBorder="1" applyAlignment="1">
      <alignment/>
    </xf>
    <xf numFmtId="167" fontId="9" fillId="0" borderId="13" xfId="0" applyNumberFormat="1" applyFont="1" applyBorder="1" applyAlignment="1">
      <alignment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167" fontId="9" fillId="0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8" fillId="0" borderId="39" xfId="0" applyNumberFormat="1" applyFont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39" xfId="0" applyNumberFormat="1" applyFont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wrapText="1"/>
    </xf>
    <xf numFmtId="4" fontId="8" fillId="0" borderId="39" xfId="0" applyNumberFormat="1" applyFont="1" applyBorder="1" applyAlignment="1">
      <alignment wrapText="1"/>
    </xf>
    <xf numFmtId="4" fontId="8" fillId="0" borderId="5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4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1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1" fillId="20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3" fontId="1" fillId="0" borderId="5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7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4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4" fontId="0" fillId="0" borderId="58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4" fontId="0" fillId="0" borderId="59" xfId="0" applyNumberFormat="1" applyFont="1" applyBorder="1" applyAlignment="1">
      <alignment vertical="center"/>
    </xf>
    <xf numFmtId="0" fontId="8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4" fontId="9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wrapText="1"/>
    </xf>
    <xf numFmtId="3" fontId="9" fillId="0" borderId="22" xfId="0" applyNumberFormat="1" applyFont="1" applyFill="1" applyBorder="1" applyAlignment="1">
      <alignment horizontal="right"/>
    </xf>
    <xf numFmtId="0" fontId="14" fillId="0" borderId="12" xfId="0" applyFont="1" applyBorder="1" applyAlignment="1">
      <alignment vertical="center" textRotation="90"/>
    </xf>
    <xf numFmtId="0" fontId="1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4" fontId="14" fillId="0" borderId="17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3" fontId="14" fillId="0" borderId="12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165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3" fontId="14" fillId="0" borderId="13" xfId="0" applyNumberFormat="1" applyFont="1" applyBorder="1" applyAlignment="1">
      <alignment/>
    </xf>
    <xf numFmtId="0" fontId="12" fillId="0" borderId="34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9" fillId="0" borderId="13" xfId="0" applyFont="1" applyBorder="1" applyAlignment="1">
      <alignment horizontal="left"/>
    </xf>
    <xf numFmtId="0" fontId="9" fillId="0" borderId="2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6" fillId="0" borderId="22" xfId="0" applyFont="1" applyFill="1" applyBorder="1" applyAlignment="1">
      <alignment/>
    </xf>
    <xf numFmtId="0" fontId="0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3" fontId="8" fillId="0" borderId="36" xfId="0" applyNumberFormat="1" applyFont="1" applyBorder="1" applyAlignment="1">
      <alignment/>
    </xf>
    <xf numFmtId="0" fontId="9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wrapText="1"/>
    </xf>
    <xf numFmtId="4" fontId="8" fillId="0" borderId="12" xfId="0" applyNumberFormat="1" applyFont="1" applyBorder="1" applyAlignment="1">
      <alignment/>
    </xf>
    <xf numFmtId="165" fontId="9" fillId="0" borderId="53" xfId="0" applyNumberFormat="1" applyFont="1" applyBorder="1" applyAlignment="1">
      <alignment/>
    </xf>
    <xf numFmtId="165" fontId="9" fillId="0" borderId="46" xfId="0" applyNumberFormat="1" applyFont="1" applyBorder="1" applyAlignment="1">
      <alignment/>
    </xf>
    <xf numFmtId="0" fontId="9" fillId="0" borderId="46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right" vertical="center" wrapText="1"/>
    </xf>
    <xf numFmtId="3" fontId="9" fillId="0" borderId="46" xfId="0" applyNumberFormat="1" applyFont="1" applyBorder="1" applyAlignment="1">
      <alignment horizontal="righ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 vertical="center"/>
    </xf>
    <xf numFmtId="1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 wrapText="1"/>
    </xf>
    <xf numFmtId="1" fontId="8" fillId="0" borderId="4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1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0" fontId="8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65" fontId="9" fillId="0" borderId="16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0" fontId="8" fillId="0" borderId="17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65" fontId="9" fillId="0" borderId="22" xfId="0" applyNumberFormat="1" applyFont="1" applyBorder="1" applyAlignment="1">
      <alignment/>
    </xf>
    <xf numFmtId="166" fontId="9" fillId="0" borderId="22" xfId="0" applyNumberFormat="1" applyFont="1" applyBorder="1" applyAlignment="1">
      <alignment/>
    </xf>
    <xf numFmtId="0" fontId="8" fillId="0" borderId="22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8" fillId="0" borderId="22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3" fontId="9" fillId="0" borderId="13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0" fontId="8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9" fillId="0" borderId="46" xfId="0" applyFont="1" applyBorder="1" applyAlignment="1">
      <alignment wrapText="1"/>
    </xf>
    <xf numFmtId="3" fontId="9" fillId="0" borderId="46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 wrapText="1"/>
    </xf>
    <xf numFmtId="3" fontId="9" fillId="0" borderId="51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 wrapText="1"/>
    </xf>
    <xf numFmtId="3" fontId="9" fillId="0" borderId="34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" fillId="0" borderId="5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9" fillId="2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9" fillId="0" borderId="69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9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00390625" style="0" customWidth="1"/>
    <col min="2" max="2" width="42.875" style="0" customWidth="1"/>
    <col min="3" max="3" width="13.00390625" style="0" customWidth="1"/>
    <col min="4" max="4" width="17.00390625" style="0" customWidth="1"/>
  </cols>
  <sheetData>
    <row r="1" spans="1:4" ht="51" customHeight="1">
      <c r="A1" s="653" t="s">
        <v>454</v>
      </c>
      <c r="B1" s="654"/>
      <c r="C1" s="463"/>
      <c r="D1" s="463"/>
    </row>
    <row r="2" spans="1:4" ht="15.75">
      <c r="A2" s="655" t="s">
        <v>281</v>
      </c>
      <c r="B2" s="655"/>
      <c r="C2" s="655"/>
      <c r="D2" s="655"/>
    </row>
    <row r="3" spans="1:4" ht="12.75">
      <c r="A3" s="436"/>
      <c r="B3" s="436"/>
      <c r="C3" s="436"/>
      <c r="D3" s="464" t="s">
        <v>259</v>
      </c>
    </row>
    <row r="4" spans="1:4" ht="12.75">
      <c r="A4" s="656" t="s">
        <v>146</v>
      </c>
      <c r="B4" s="656" t="s">
        <v>282</v>
      </c>
      <c r="C4" s="657" t="s">
        <v>283</v>
      </c>
      <c r="D4" s="657" t="s">
        <v>284</v>
      </c>
    </row>
    <row r="5" spans="1:4" ht="12.75">
      <c r="A5" s="656"/>
      <c r="B5" s="656"/>
      <c r="C5" s="656"/>
      <c r="D5" s="657"/>
    </row>
    <row r="6" spans="1:4" ht="12.75">
      <c r="A6" s="656"/>
      <c r="B6" s="656"/>
      <c r="C6" s="656"/>
      <c r="D6" s="657"/>
    </row>
    <row r="7" spans="1:4" ht="12.75">
      <c r="A7" s="465">
        <v>1</v>
      </c>
      <c r="B7" s="465">
        <v>2</v>
      </c>
      <c r="C7" s="465">
        <v>3</v>
      </c>
      <c r="D7" s="465">
        <v>4</v>
      </c>
    </row>
    <row r="8" spans="1:4" ht="12.75">
      <c r="A8" s="652" t="s">
        <v>285</v>
      </c>
      <c r="B8" s="652"/>
      <c r="C8" s="453"/>
      <c r="D8" s="466">
        <f>SUM(D9:D16)</f>
        <v>8540000</v>
      </c>
    </row>
    <row r="9" spans="1:4" ht="13.5" customHeight="1">
      <c r="A9" s="467" t="s">
        <v>265</v>
      </c>
      <c r="B9" s="468" t="s">
        <v>286</v>
      </c>
      <c r="C9" s="467" t="s">
        <v>287</v>
      </c>
      <c r="D9" s="469">
        <v>4817675</v>
      </c>
    </row>
    <row r="10" spans="1:4" ht="15.75" customHeight="1">
      <c r="A10" s="470" t="s">
        <v>275</v>
      </c>
      <c r="B10" s="471" t="s">
        <v>288</v>
      </c>
      <c r="C10" s="470" t="s">
        <v>287</v>
      </c>
      <c r="D10" s="472"/>
    </row>
    <row r="11" spans="1:4" ht="30.75" customHeight="1">
      <c r="A11" s="470" t="s">
        <v>289</v>
      </c>
      <c r="B11" s="473" t="s">
        <v>290</v>
      </c>
      <c r="C11" s="470" t="s">
        <v>291</v>
      </c>
      <c r="D11" s="472">
        <v>1695000</v>
      </c>
    </row>
    <row r="12" spans="1:4" ht="15" customHeight="1">
      <c r="A12" s="470" t="s">
        <v>292</v>
      </c>
      <c r="B12" s="471" t="s">
        <v>293</v>
      </c>
      <c r="C12" s="470" t="s">
        <v>294</v>
      </c>
      <c r="D12" s="472">
        <v>0</v>
      </c>
    </row>
    <row r="13" spans="1:4" ht="14.25" customHeight="1">
      <c r="A13" s="470" t="s">
        <v>295</v>
      </c>
      <c r="B13" s="471" t="s">
        <v>296</v>
      </c>
      <c r="C13" s="470" t="s">
        <v>297</v>
      </c>
      <c r="D13" s="472">
        <v>0</v>
      </c>
    </row>
    <row r="14" spans="1:4" ht="15.75" customHeight="1">
      <c r="A14" s="470" t="s">
        <v>298</v>
      </c>
      <c r="B14" s="471" t="s">
        <v>299</v>
      </c>
      <c r="C14" s="470" t="s">
        <v>300</v>
      </c>
      <c r="D14" s="472">
        <v>0</v>
      </c>
    </row>
    <row r="15" spans="1:4" ht="16.5" customHeight="1">
      <c r="A15" s="470" t="s">
        <v>301</v>
      </c>
      <c r="B15" s="471" t="s">
        <v>302</v>
      </c>
      <c r="C15" s="470" t="s">
        <v>303</v>
      </c>
      <c r="D15" s="472">
        <v>0</v>
      </c>
    </row>
    <row r="16" spans="1:4" ht="16.5" customHeight="1">
      <c r="A16" s="470" t="s">
        <v>304</v>
      </c>
      <c r="B16" s="474" t="s">
        <v>305</v>
      </c>
      <c r="C16" s="475" t="s">
        <v>306</v>
      </c>
      <c r="D16" s="476">
        <v>2027325</v>
      </c>
    </row>
    <row r="17" spans="1:4" ht="16.5" customHeight="1">
      <c r="A17" s="652" t="s">
        <v>307</v>
      </c>
      <c r="B17" s="652"/>
      <c r="C17" s="453"/>
      <c r="D17" s="466">
        <f>SUM(D18:D24)</f>
        <v>3758549</v>
      </c>
    </row>
    <row r="18" spans="1:4" ht="15" customHeight="1">
      <c r="A18" s="467" t="s">
        <v>265</v>
      </c>
      <c r="B18" s="468" t="s">
        <v>308</v>
      </c>
      <c r="C18" s="467" t="s">
        <v>309</v>
      </c>
      <c r="D18" s="469">
        <v>350000</v>
      </c>
    </row>
    <row r="19" spans="1:4" ht="16.5" customHeight="1">
      <c r="A19" s="470" t="s">
        <v>275</v>
      </c>
      <c r="B19" s="471" t="s">
        <v>310</v>
      </c>
      <c r="C19" s="470" t="s">
        <v>309</v>
      </c>
      <c r="D19" s="472">
        <v>965948</v>
      </c>
    </row>
    <row r="20" spans="1:4" ht="46.5" customHeight="1">
      <c r="A20" s="470" t="s">
        <v>289</v>
      </c>
      <c r="B20" s="473" t="s">
        <v>311</v>
      </c>
      <c r="C20" s="470" t="s">
        <v>312</v>
      </c>
      <c r="D20" s="472">
        <v>2442601</v>
      </c>
    </row>
    <row r="21" spans="1:4" ht="15" customHeight="1">
      <c r="A21" s="470" t="s">
        <v>292</v>
      </c>
      <c r="B21" s="471" t="s">
        <v>313</v>
      </c>
      <c r="C21" s="470" t="s">
        <v>314</v>
      </c>
      <c r="D21" s="472">
        <v>0</v>
      </c>
    </row>
    <row r="22" spans="1:4" ht="15" customHeight="1">
      <c r="A22" s="470" t="s">
        <v>295</v>
      </c>
      <c r="B22" s="471" t="s">
        <v>315</v>
      </c>
      <c r="C22" s="470" t="s">
        <v>316</v>
      </c>
      <c r="D22" s="472">
        <v>0</v>
      </c>
    </row>
    <row r="23" spans="1:4" ht="15" customHeight="1">
      <c r="A23" s="470" t="s">
        <v>298</v>
      </c>
      <c r="B23" s="471" t="s">
        <v>317</v>
      </c>
      <c r="C23" s="470" t="s">
        <v>318</v>
      </c>
      <c r="D23" s="472">
        <v>0</v>
      </c>
    </row>
    <row r="24" spans="1:4" ht="16.5" customHeight="1">
      <c r="A24" s="475" t="s">
        <v>301</v>
      </c>
      <c r="B24" s="474" t="s">
        <v>319</v>
      </c>
      <c r="C24" s="475" t="s">
        <v>320</v>
      </c>
      <c r="D24" s="476">
        <v>0</v>
      </c>
    </row>
  </sheetData>
  <sheetProtection/>
  <mergeCells count="8">
    <mergeCell ref="A8:B8"/>
    <mergeCell ref="A17:B17"/>
    <mergeCell ref="A1:B1"/>
    <mergeCell ref="A2:D2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70">
      <selection activeCell="C57" sqref="C57"/>
    </sheetView>
  </sheetViews>
  <sheetFormatPr defaultColWidth="9.00390625" defaultRowHeight="12.75"/>
  <cols>
    <col min="1" max="1" width="4.75390625" style="4" customWidth="1"/>
    <col min="2" max="2" width="6.00390625" style="2" customWidth="1"/>
    <col min="3" max="3" width="32.625" style="38" customWidth="1"/>
    <col min="4" max="4" width="10.75390625" style="28" customWidth="1"/>
    <col min="5" max="5" width="11.00390625" style="28" customWidth="1"/>
    <col min="6" max="6" width="9.875" style="28" customWidth="1"/>
    <col min="7" max="7" width="10.125" style="28" customWidth="1"/>
    <col min="8" max="8" width="9.25390625" style="28" customWidth="1"/>
    <col min="9" max="9" width="9.125" style="28" customWidth="1"/>
    <col min="10" max="10" width="8.625" style="28" customWidth="1"/>
    <col min="11" max="11" width="9.625" style="28" customWidth="1"/>
    <col min="12" max="12" width="9.25390625" style="1" customWidth="1"/>
    <col min="13" max="16384" width="9.125" style="1" customWidth="1"/>
  </cols>
  <sheetData>
    <row r="1" spans="1:3" ht="50.25" customHeight="1">
      <c r="A1" s="696" t="s">
        <v>444</v>
      </c>
      <c r="B1" s="697"/>
      <c r="C1" s="697"/>
    </row>
    <row r="2" spans="1:11" ht="18.75" customHeight="1" thickBot="1">
      <c r="A2" s="695" t="s">
        <v>188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2" ht="14.25" customHeight="1">
      <c r="A3" s="711" t="s">
        <v>0</v>
      </c>
      <c r="B3" s="714" t="s">
        <v>1</v>
      </c>
      <c r="C3" s="708" t="s">
        <v>2</v>
      </c>
      <c r="D3" s="688" t="s">
        <v>254</v>
      </c>
      <c r="E3" s="689"/>
      <c r="F3" s="705" t="s">
        <v>177</v>
      </c>
      <c r="G3" s="698" t="s">
        <v>65</v>
      </c>
      <c r="H3" s="699"/>
      <c r="I3" s="699"/>
      <c r="J3" s="700"/>
      <c r="K3" s="692" t="s">
        <v>71</v>
      </c>
      <c r="L3" s="685" t="s">
        <v>91</v>
      </c>
    </row>
    <row r="4" spans="1:12" ht="12.75" customHeight="1">
      <c r="A4" s="712"/>
      <c r="B4" s="715"/>
      <c r="C4" s="709"/>
      <c r="D4" s="690"/>
      <c r="E4" s="691"/>
      <c r="F4" s="706"/>
      <c r="G4" s="701" t="s">
        <v>20</v>
      </c>
      <c r="H4" s="703" t="s">
        <v>64</v>
      </c>
      <c r="I4" s="703"/>
      <c r="J4" s="704"/>
      <c r="K4" s="693"/>
      <c r="L4" s="686"/>
    </row>
    <row r="5" spans="1:12" ht="23.25" customHeight="1" thickBot="1">
      <c r="A5" s="713"/>
      <c r="B5" s="716"/>
      <c r="C5" s="710"/>
      <c r="D5" s="173" t="s">
        <v>124</v>
      </c>
      <c r="E5" s="57" t="s">
        <v>84</v>
      </c>
      <c r="F5" s="707"/>
      <c r="G5" s="702"/>
      <c r="H5" s="56" t="s">
        <v>72</v>
      </c>
      <c r="I5" s="56" t="s">
        <v>92</v>
      </c>
      <c r="J5" s="57" t="s">
        <v>21</v>
      </c>
      <c r="K5" s="694"/>
      <c r="L5" s="687"/>
    </row>
    <row r="6" spans="1:12" s="8" customFormat="1" ht="14.25" customHeight="1">
      <c r="A6" s="13">
        <v>10</v>
      </c>
      <c r="B6" s="14"/>
      <c r="C6" s="30" t="s">
        <v>37</v>
      </c>
      <c r="D6" s="413">
        <f>SUM(D7:D9)</f>
        <v>79129.8</v>
      </c>
      <c r="E6" s="414">
        <f>SUM(E7+E9)</f>
        <v>4185784.07</v>
      </c>
      <c r="F6" s="174">
        <f>SUM(F7:F9)</f>
        <v>196255</v>
      </c>
      <c r="G6" s="146">
        <f>SUM(G7:G9)</f>
        <v>66255</v>
      </c>
      <c r="H6" s="146">
        <f>SUM(H7:H9)</f>
        <v>0</v>
      </c>
      <c r="I6" s="147"/>
      <c r="J6" s="148"/>
      <c r="K6" s="149">
        <f>SUM(K7+K9)</f>
        <v>130000</v>
      </c>
      <c r="L6" s="150">
        <f>SUM(L7+L9)</f>
        <v>0</v>
      </c>
    </row>
    <row r="7" spans="1:12" ht="16.5" customHeight="1">
      <c r="A7" s="11"/>
      <c r="B7" s="12">
        <v>1010</v>
      </c>
      <c r="C7" s="31" t="s">
        <v>67</v>
      </c>
      <c r="D7" s="415">
        <v>0</v>
      </c>
      <c r="E7" s="325">
        <v>4185784.07</v>
      </c>
      <c r="F7" s="175">
        <f>SUM(G7+K7+L7)</f>
        <v>130000</v>
      </c>
      <c r="G7" s="163"/>
      <c r="H7" s="81"/>
      <c r="I7" s="81"/>
      <c r="J7" s="151"/>
      <c r="K7" s="152">
        <v>130000</v>
      </c>
      <c r="L7" s="153"/>
    </row>
    <row r="8" spans="1:12" ht="14.25" customHeight="1">
      <c r="A8" s="11"/>
      <c r="B8" s="12">
        <v>1030</v>
      </c>
      <c r="C8" s="31" t="s">
        <v>90</v>
      </c>
      <c r="D8" s="415">
        <v>8595</v>
      </c>
      <c r="E8" s="325"/>
      <c r="F8" s="175">
        <f>SUM(G8+K8+L8)</f>
        <v>8805</v>
      </c>
      <c r="G8" s="163">
        <v>8805</v>
      </c>
      <c r="H8" s="81"/>
      <c r="I8" s="81"/>
      <c r="J8" s="151"/>
      <c r="K8" s="152"/>
      <c r="L8" s="153"/>
    </row>
    <row r="9" spans="1:12" s="6" customFormat="1" ht="14.25" customHeight="1">
      <c r="A9" s="11"/>
      <c r="B9" s="12">
        <v>1095</v>
      </c>
      <c r="C9" s="32" t="s">
        <v>3</v>
      </c>
      <c r="D9" s="415">
        <v>70534.8</v>
      </c>
      <c r="E9" s="325"/>
      <c r="F9" s="175">
        <f>SUM(G9+K9+L9)</f>
        <v>57450</v>
      </c>
      <c r="G9" s="163">
        <f>56850+600</f>
        <v>57450</v>
      </c>
      <c r="H9" s="81"/>
      <c r="I9" s="81"/>
      <c r="J9" s="151"/>
      <c r="K9" s="152"/>
      <c r="L9" s="153"/>
    </row>
    <row r="10" spans="1:14" s="8" customFormat="1" ht="14.25" customHeight="1">
      <c r="A10" s="9">
        <v>600</v>
      </c>
      <c r="B10" s="10"/>
      <c r="C10" s="33" t="s">
        <v>26</v>
      </c>
      <c r="D10" s="416">
        <f>SUM(D11:D13)</f>
        <v>2842355.84</v>
      </c>
      <c r="E10" s="417">
        <f>SUM(E11:E13)</f>
        <v>9304828.48</v>
      </c>
      <c r="F10" s="176">
        <f>SUM(F11:F13)</f>
        <v>6157962</v>
      </c>
      <c r="G10" s="158">
        <f>SUM(G11+G13)</f>
        <v>3790962</v>
      </c>
      <c r="H10" s="154">
        <f>SUM(H11+H13)</f>
        <v>50000</v>
      </c>
      <c r="I10" s="154"/>
      <c r="J10" s="155"/>
      <c r="K10" s="156">
        <f>SUM(K11:K13)</f>
        <v>2367000</v>
      </c>
      <c r="L10" s="157">
        <f>SUM(L11+L13)</f>
        <v>0</v>
      </c>
      <c r="N10" s="8" t="s">
        <v>10</v>
      </c>
    </row>
    <row r="11" spans="1:12" ht="14.25" customHeight="1">
      <c r="A11" s="11"/>
      <c r="B11" s="12">
        <v>60004</v>
      </c>
      <c r="C11" s="32" t="s">
        <v>38</v>
      </c>
      <c r="D11" s="415">
        <v>856813</v>
      </c>
      <c r="E11" s="325"/>
      <c r="F11" s="175">
        <f>SUM(G11+K11+L11)</f>
        <v>1100000</v>
      </c>
      <c r="G11" s="163">
        <v>1100000</v>
      </c>
      <c r="H11" s="81"/>
      <c r="I11" s="81"/>
      <c r="J11" s="151"/>
      <c r="K11" s="152"/>
      <c r="L11" s="153"/>
    </row>
    <row r="12" spans="1:12" ht="14.25" customHeight="1">
      <c r="A12" s="11"/>
      <c r="B12" s="12">
        <v>60014</v>
      </c>
      <c r="C12" s="32" t="s">
        <v>126</v>
      </c>
      <c r="D12" s="415"/>
      <c r="E12" s="325">
        <v>275185.15</v>
      </c>
      <c r="F12" s="175">
        <f>SUM(G12+K12+L12)</f>
        <v>0</v>
      </c>
      <c r="G12" s="163"/>
      <c r="H12" s="81"/>
      <c r="I12" s="81"/>
      <c r="J12" s="151"/>
      <c r="K12" s="152"/>
      <c r="L12" s="153"/>
    </row>
    <row r="13" spans="1:12" ht="14.25" customHeight="1">
      <c r="A13" s="11"/>
      <c r="B13" s="12">
        <v>60016</v>
      </c>
      <c r="C13" s="32" t="s">
        <v>16</v>
      </c>
      <c r="D13" s="415">
        <v>1985542.84</v>
      </c>
      <c r="E13" s="325">
        <v>9029643.33</v>
      </c>
      <c r="F13" s="175">
        <f>SUM(G13+K13+L13)</f>
        <v>5057962</v>
      </c>
      <c r="G13" s="163">
        <f>2432000+258962</f>
        <v>2690962</v>
      </c>
      <c r="H13" s="81">
        <f>20000+30000</f>
        <v>50000</v>
      </c>
      <c r="I13" s="81"/>
      <c r="J13" s="151"/>
      <c r="K13" s="152">
        <v>2367000</v>
      </c>
      <c r="L13" s="153"/>
    </row>
    <row r="14" spans="1:12" s="8" customFormat="1" ht="14.25" customHeight="1">
      <c r="A14" s="9">
        <v>700</v>
      </c>
      <c r="B14" s="10"/>
      <c r="C14" s="33" t="s">
        <v>4</v>
      </c>
      <c r="D14" s="416">
        <f>SUM(D15:D17)</f>
        <v>898361.99</v>
      </c>
      <c r="E14" s="417">
        <f>SUM(E15:E17)</f>
        <v>4171599.88</v>
      </c>
      <c r="F14" s="176">
        <f>SUM(F15:F17)</f>
        <v>2750649</v>
      </c>
      <c r="G14" s="158">
        <f>SUM(G15:G17)</f>
        <v>863275</v>
      </c>
      <c r="H14" s="158">
        <f>SUM(H15:H16)</f>
        <v>0</v>
      </c>
      <c r="I14" s="154"/>
      <c r="J14" s="155"/>
      <c r="K14" s="156">
        <f>SUM(K15:K17)</f>
        <v>1887374</v>
      </c>
      <c r="L14" s="157">
        <f>SUM(L15:L16)</f>
        <v>0</v>
      </c>
    </row>
    <row r="15" spans="1:12" ht="14.25" customHeight="1">
      <c r="A15" s="11"/>
      <c r="B15" s="12">
        <v>70005</v>
      </c>
      <c r="C15" s="31" t="s">
        <v>52</v>
      </c>
      <c r="D15" s="415">
        <v>178696.53</v>
      </c>
      <c r="E15" s="325">
        <v>294314.26</v>
      </c>
      <c r="F15" s="175">
        <f>SUM(G15+K15+L15)</f>
        <v>610000</v>
      </c>
      <c r="G15" s="163">
        <v>300000</v>
      </c>
      <c r="H15" s="81"/>
      <c r="I15" s="81"/>
      <c r="J15" s="151"/>
      <c r="K15" s="152">
        <f>200000+110000</f>
        <v>310000</v>
      </c>
      <c r="L15" s="153"/>
    </row>
    <row r="16" spans="1:12" ht="14.25" customHeight="1">
      <c r="A16" s="11"/>
      <c r="B16" s="12">
        <v>70021</v>
      </c>
      <c r="C16" s="32" t="s">
        <v>85</v>
      </c>
      <c r="D16" s="415">
        <v>319111.97</v>
      </c>
      <c r="E16" s="325"/>
      <c r="F16" s="175">
        <f>SUM(G16+K16+L16)</f>
        <v>0</v>
      </c>
      <c r="G16" s="163"/>
      <c r="H16" s="81"/>
      <c r="I16" s="81"/>
      <c r="J16" s="151"/>
      <c r="K16" s="152"/>
      <c r="L16" s="153"/>
    </row>
    <row r="17" spans="1:12" ht="14.25" customHeight="1">
      <c r="A17" s="11"/>
      <c r="B17" s="12">
        <v>70095</v>
      </c>
      <c r="C17" s="32" t="s">
        <v>101</v>
      </c>
      <c r="D17" s="415">
        <v>400553.49</v>
      </c>
      <c r="E17" s="325">
        <v>3877285.62</v>
      </c>
      <c r="F17" s="175">
        <f>SUM(G17+K17+L17)</f>
        <v>2140649</v>
      </c>
      <c r="G17" s="163">
        <f>475000+114649-26374</f>
        <v>563275</v>
      </c>
      <c r="H17" s="81"/>
      <c r="I17" s="81"/>
      <c r="J17" s="151"/>
      <c r="K17" s="152">
        <f>1551000+26374</f>
        <v>1577374</v>
      </c>
      <c r="L17" s="153"/>
    </row>
    <row r="18" spans="1:12" s="8" customFormat="1" ht="14.25" customHeight="1">
      <c r="A18" s="9">
        <v>710</v>
      </c>
      <c r="B18" s="10"/>
      <c r="C18" s="33" t="s">
        <v>39</v>
      </c>
      <c r="D18" s="416">
        <f aca="true" t="shared" si="0" ref="D18:K18">SUM(D19:D20)</f>
        <v>190285.26</v>
      </c>
      <c r="E18" s="417">
        <f t="shared" si="0"/>
        <v>0</v>
      </c>
      <c r="F18" s="176">
        <f t="shared" si="0"/>
        <v>420500</v>
      </c>
      <c r="G18" s="158">
        <f>SUM(G19:G20)</f>
        <v>420500</v>
      </c>
      <c r="H18" s="158">
        <f>SUM(H19:H20)</f>
        <v>70000</v>
      </c>
      <c r="I18" s="154"/>
      <c r="J18" s="155"/>
      <c r="K18" s="156">
        <f t="shared" si="0"/>
        <v>0</v>
      </c>
      <c r="L18" s="157"/>
    </row>
    <row r="19" spans="1:12" s="7" customFormat="1" ht="14.25" customHeight="1">
      <c r="A19" s="11"/>
      <c r="B19" s="12">
        <v>71004</v>
      </c>
      <c r="C19" s="31" t="s">
        <v>68</v>
      </c>
      <c r="D19" s="415">
        <v>182285.26</v>
      </c>
      <c r="E19" s="325"/>
      <c r="F19" s="175">
        <f>SUM(G19+K19+L19)</f>
        <v>405500</v>
      </c>
      <c r="G19" s="163">
        <f>385500+20000</f>
        <v>405500</v>
      </c>
      <c r="H19" s="81">
        <v>70000</v>
      </c>
      <c r="I19" s="81"/>
      <c r="J19" s="151"/>
      <c r="K19" s="152"/>
      <c r="L19" s="159"/>
    </row>
    <row r="20" spans="1:12" ht="14.25" customHeight="1">
      <c r="A20" s="11"/>
      <c r="B20" s="12">
        <v>71035</v>
      </c>
      <c r="C20" s="32" t="s">
        <v>88</v>
      </c>
      <c r="D20" s="415">
        <v>8000</v>
      </c>
      <c r="E20" s="325">
        <v>0</v>
      </c>
      <c r="F20" s="175">
        <f>SUM(G20+K20+L20)</f>
        <v>15000</v>
      </c>
      <c r="G20" s="163">
        <v>15000</v>
      </c>
      <c r="H20" s="81"/>
      <c r="I20" s="81"/>
      <c r="J20" s="151"/>
      <c r="K20" s="152"/>
      <c r="L20" s="153"/>
    </row>
    <row r="21" spans="1:12" s="8" customFormat="1" ht="14.25" customHeight="1">
      <c r="A21" s="9">
        <v>750</v>
      </c>
      <c r="B21" s="10"/>
      <c r="C21" s="33" t="s">
        <v>28</v>
      </c>
      <c r="D21" s="416">
        <f>SUM(D22:D25)</f>
        <v>5771674.67</v>
      </c>
      <c r="E21" s="427">
        <f>SUM(E22:E25)</f>
        <v>143350.44</v>
      </c>
      <c r="F21" s="176">
        <f>SUM(F22:F25)</f>
        <v>6302072</v>
      </c>
      <c r="G21" s="158">
        <f>SUM(G22:G25)</f>
        <v>6167072</v>
      </c>
      <c r="H21" s="154">
        <f>SUM(H22:H25)</f>
        <v>3927109</v>
      </c>
      <c r="I21" s="154"/>
      <c r="J21" s="160">
        <f>SUM(J22:J25)</f>
        <v>0</v>
      </c>
      <c r="K21" s="156">
        <f>SUM(K22+K23+K24)</f>
        <v>135000</v>
      </c>
      <c r="L21" s="157"/>
    </row>
    <row r="22" spans="1:12" ht="14.25" customHeight="1">
      <c r="A22" s="11"/>
      <c r="B22" s="12">
        <v>75011</v>
      </c>
      <c r="C22" s="31" t="s">
        <v>55</v>
      </c>
      <c r="D22" s="415">
        <v>330012.04</v>
      </c>
      <c r="E22" s="325">
        <v>7000</v>
      </c>
      <c r="F22" s="175">
        <f>SUM(G22+K22+L22)</f>
        <v>408587</v>
      </c>
      <c r="G22" s="163">
        <v>408587</v>
      </c>
      <c r="H22" s="81">
        <v>349287</v>
      </c>
      <c r="I22" s="81"/>
      <c r="J22" s="151"/>
      <c r="K22" s="152"/>
      <c r="L22" s="153"/>
    </row>
    <row r="23" spans="1:12" ht="22.5">
      <c r="A23" s="11"/>
      <c r="B23" s="12">
        <v>75022</v>
      </c>
      <c r="C23" s="31" t="s">
        <v>40</v>
      </c>
      <c r="D23" s="415">
        <v>312876.73</v>
      </c>
      <c r="E23" s="325">
        <v>0</v>
      </c>
      <c r="F23" s="175">
        <f>SUM(G23+K23+L23)</f>
        <v>361982</v>
      </c>
      <c r="G23" s="163">
        <v>361982</v>
      </c>
      <c r="H23" s="81"/>
      <c r="I23" s="81"/>
      <c r="J23" s="151"/>
      <c r="K23" s="152"/>
      <c r="L23" s="153"/>
    </row>
    <row r="24" spans="1:12" ht="22.5">
      <c r="A24" s="11"/>
      <c r="B24" s="12">
        <v>75023</v>
      </c>
      <c r="C24" s="31" t="s">
        <v>29</v>
      </c>
      <c r="D24" s="415">
        <v>4475744.59</v>
      </c>
      <c r="E24" s="325">
        <v>136350.44</v>
      </c>
      <c r="F24" s="175">
        <f>SUM(G24+K24+L24)</f>
        <v>4972703</v>
      </c>
      <c r="G24" s="163">
        <v>4837703</v>
      </c>
      <c r="H24" s="81">
        <v>3526722</v>
      </c>
      <c r="I24" s="81"/>
      <c r="J24" s="151"/>
      <c r="K24" s="152">
        <v>135000</v>
      </c>
      <c r="L24" s="153"/>
    </row>
    <row r="25" spans="1:12" ht="18.75" customHeight="1">
      <c r="A25" s="11"/>
      <c r="B25" s="12">
        <v>75075</v>
      </c>
      <c r="C25" s="31" t="s">
        <v>148</v>
      </c>
      <c r="D25" s="415">
        <v>653041.31</v>
      </c>
      <c r="E25" s="325"/>
      <c r="F25" s="175">
        <f>SUM(G25+K25+L25)</f>
        <v>558800</v>
      </c>
      <c r="G25" s="163">
        <f>560000-6500-2200+7500</f>
        <v>558800</v>
      </c>
      <c r="H25" s="81">
        <v>51100</v>
      </c>
      <c r="I25" s="81"/>
      <c r="J25" s="151"/>
      <c r="K25" s="152"/>
      <c r="L25" s="153"/>
    </row>
    <row r="26" spans="1:12" s="8" customFormat="1" ht="50.25" customHeight="1">
      <c r="A26" s="9">
        <v>751</v>
      </c>
      <c r="B26" s="10"/>
      <c r="C26" s="34" t="s">
        <v>41</v>
      </c>
      <c r="D26" s="416">
        <f>+D27+D28</f>
        <v>73518.62</v>
      </c>
      <c r="E26" s="417">
        <f aca="true" t="shared" si="1" ref="E26:K26">+E27</f>
        <v>0</v>
      </c>
      <c r="F26" s="176">
        <f t="shared" si="1"/>
        <v>5690</v>
      </c>
      <c r="G26" s="158">
        <f t="shared" si="1"/>
        <v>5690</v>
      </c>
      <c r="H26" s="154"/>
      <c r="I26" s="154"/>
      <c r="J26" s="155"/>
      <c r="K26" s="156">
        <f t="shared" si="1"/>
        <v>0</v>
      </c>
      <c r="L26" s="157"/>
    </row>
    <row r="27" spans="1:12" ht="26.25" customHeight="1">
      <c r="A27" s="11"/>
      <c r="B27" s="12">
        <v>75101</v>
      </c>
      <c r="C27" s="35" t="s">
        <v>66</v>
      </c>
      <c r="D27" s="415">
        <v>5687</v>
      </c>
      <c r="E27" s="325"/>
      <c r="F27" s="175">
        <f>SUM(G27+K27+L27)</f>
        <v>5690</v>
      </c>
      <c r="G27" s="163">
        <v>5690</v>
      </c>
      <c r="H27" s="81">
        <v>5000</v>
      </c>
      <c r="I27" s="81"/>
      <c r="J27" s="151"/>
      <c r="K27" s="152"/>
      <c r="L27" s="153"/>
    </row>
    <row r="28" spans="1:12" ht="46.5" customHeight="1">
      <c r="A28" s="11"/>
      <c r="B28" s="12">
        <v>75109</v>
      </c>
      <c r="C28" s="142" t="s">
        <v>180</v>
      </c>
      <c r="D28" s="415">
        <v>67831.62</v>
      </c>
      <c r="E28" s="325"/>
      <c r="F28" s="175"/>
      <c r="G28" s="163"/>
      <c r="H28" s="81"/>
      <c r="I28" s="81"/>
      <c r="J28" s="151"/>
      <c r="K28" s="152"/>
      <c r="L28" s="153"/>
    </row>
    <row r="29" spans="1:12" s="8" customFormat="1" ht="24.75" customHeight="1">
      <c r="A29" s="9">
        <v>754</v>
      </c>
      <c r="B29" s="10"/>
      <c r="C29" s="34" t="s">
        <v>42</v>
      </c>
      <c r="D29" s="416">
        <f>SUM(D30:D32)</f>
        <v>595805.79</v>
      </c>
      <c r="E29" s="417">
        <f aca="true" t="shared" si="2" ref="E29:K29">SUM(E30+E31+E32)</f>
        <v>17700</v>
      </c>
      <c r="F29" s="176">
        <f t="shared" si="2"/>
        <v>1394378</v>
      </c>
      <c r="G29" s="158">
        <f>SUM(G30+G31+G32)</f>
        <v>686378</v>
      </c>
      <c r="H29" s="154">
        <f t="shared" si="2"/>
        <v>419521</v>
      </c>
      <c r="I29" s="154"/>
      <c r="J29" s="155"/>
      <c r="K29" s="161">
        <f t="shared" si="2"/>
        <v>600000</v>
      </c>
      <c r="L29" s="157">
        <f>SUM(L30:L32)</f>
        <v>108000</v>
      </c>
    </row>
    <row r="30" spans="1:12" s="6" customFormat="1" ht="14.25" customHeight="1">
      <c r="A30" s="11"/>
      <c r="B30" s="12">
        <v>75412</v>
      </c>
      <c r="C30" s="32" t="s">
        <v>17</v>
      </c>
      <c r="D30" s="415">
        <v>203189.83</v>
      </c>
      <c r="E30" s="325">
        <v>17700</v>
      </c>
      <c r="F30" s="175">
        <f>SUM(G30+K30+L30)</f>
        <v>938000</v>
      </c>
      <c r="G30" s="163">
        <v>230000</v>
      </c>
      <c r="H30" s="81">
        <v>32000</v>
      </c>
      <c r="I30" s="81"/>
      <c r="J30" s="151"/>
      <c r="K30" s="152">
        <v>600000</v>
      </c>
      <c r="L30" s="153">
        <v>108000</v>
      </c>
    </row>
    <row r="31" spans="1:12" ht="14.25" customHeight="1">
      <c r="A31" s="11"/>
      <c r="B31" s="12">
        <v>75414</v>
      </c>
      <c r="C31" s="32" t="s">
        <v>11</v>
      </c>
      <c r="D31" s="415">
        <v>3000</v>
      </c>
      <c r="E31" s="325"/>
      <c r="F31" s="175">
        <f>SUM(G31+K31+L31)</f>
        <v>2000</v>
      </c>
      <c r="G31" s="163">
        <v>2000</v>
      </c>
      <c r="H31" s="81"/>
      <c r="I31" s="81"/>
      <c r="J31" s="151"/>
      <c r="K31" s="152"/>
      <c r="L31" s="153"/>
    </row>
    <row r="32" spans="1:12" ht="14.25" customHeight="1">
      <c r="A32" s="11"/>
      <c r="B32" s="12">
        <v>75416</v>
      </c>
      <c r="C32" s="85" t="s">
        <v>77</v>
      </c>
      <c r="D32" s="415">
        <v>389615.96</v>
      </c>
      <c r="E32" s="325"/>
      <c r="F32" s="175">
        <f>SUM(G32+K32+L32)</f>
        <v>454378</v>
      </c>
      <c r="G32" s="163">
        <f>453521+857</f>
        <v>454378</v>
      </c>
      <c r="H32" s="81">
        <v>387521</v>
      </c>
      <c r="I32" s="81"/>
      <c r="J32" s="151"/>
      <c r="K32" s="152"/>
      <c r="L32" s="153"/>
    </row>
    <row r="33" spans="1:12" s="6" customFormat="1" ht="60.75" customHeight="1">
      <c r="A33" s="62">
        <v>756</v>
      </c>
      <c r="B33" s="12"/>
      <c r="C33" s="84" t="s">
        <v>125</v>
      </c>
      <c r="D33" s="418">
        <f>SUM(D34)</f>
        <v>69791.64</v>
      </c>
      <c r="E33" s="346"/>
      <c r="F33" s="165">
        <f>SUM(F34)</f>
        <v>80000</v>
      </c>
      <c r="G33" s="162">
        <f>SUM(G34)</f>
        <v>80000</v>
      </c>
      <c r="H33" s="162">
        <f>SUM(H34)</f>
        <v>72000</v>
      </c>
      <c r="I33" s="81"/>
      <c r="J33" s="151"/>
      <c r="K33" s="152"/>
      <c r="L33" s="153"/>
    </row>
    <row r="34" spans="1:12" s="6" customFormat="1" ht="27" customHeight="1">
      <c r="A34" s="11"/>
      <c r="B34" s="12">
        <v>75647</v>
      </c>
      <c r="C34" s="83" t="s">
        <v>86</v>
      </c>
      <c r="D34" s="415">
        <v>69791.64</v>
      </c>
      <c r="E34" s="325"/>
      <c r="F34" s="175">
        <f>SUM(G34+K34+L34)</f>
        <v>80000</v>
      </c>
      <c r="G34" s="163">
        <v>80000</v>
      </c>
      <c r="H34" s="81">
        <v>72000</v>
      </c>
      <c r="I34" s="81"/>
      <c r="J34" s="151" t="s">
        <v>10</v>
      </c>
      <c r="K34" s="152"/>
      <c r="L34" s="153"/>
    </row>
    <row r="35" spans="1:12" s="6" customFormat="1" ht="15.75" customHeight="1">
      <c r="A35" s="9">
        <v>757</v>
      </c>
      <c r="B35" s="10"/>
      <c r="C35" s="33" t="s">
        <v>43</v>
      </c>
      <c r="D35" s="418">
        <f>SUM(D36:D37)</f>
        <v>42791.62</v>
      </c>
      <c r="E35" s="346"/>
      <c r="F35" s="164">
        <f>SUM(F36:F37)</f>
        <v>429528</v>
      </c>
      <c r="G35" s="164">
        <f>SUM(G36:G37)</f>
        <v>429528</v>
      </c>
      <c r="H35" s="81"/>
      <c r="I35" s="178">
        <f>SUM(I36:I37)</f>
        <v>429528</v>
      </c>
      <c r="J35" s="151"/>
      <c r="K35" s="152"/>
      <c r="L35" s="153"/>
    </row>
    <row r="36" spans="1:12" s="6" customFormat="1" ht="36.75" customHeight="1">
      <c r="A36" s="11"/>
      <c r="B36" s="12">
        <v>75702</v>
      </c>
      <c r="C36" s="31" t="s">
        <v>195</v>
      </c>
      <c r="D36" s="415">
        <v>42791.62</v>
      </c>
      <c r="E36" s="325"/>
      <c r="F36" s="175">
        <f>SUM(G36+K36+L36)</f>
        <v>250500</v>
      </c>
      <c r="G36" s="163">
        <v>250500</v>
      </c>
      <c r="H36" s="81"/>
      <c r="I36" s="81">
        <v>250500</v>
      </c>
      <c r="J36" s="151"/>
      <c r="K36" s="152"/>
      <c r="L36" s="153"/>
    </row>
    <row r="37" spans="1:12" s="6" customFormat="1" ht="36.75" customHeight="1">
      <c r="A37" s="11"/>
      <c r="B37" s="12">
        <v>75704</v>
      </c>
      <c r="C37" s="31" t="s">
        <v>100</v>
      </c>
      <c r="D37" s="415"/>
      <c r="E37" s="325"/>
      <c r="F37" s="175">
        <f>SUM(G37+K37+L37)</f>
        <v>179028</v>
      </c>
      <c r="G37" s="163">
        <v>179028</v>
      </c>
      <c r="H37" s="81"/>
      <c r="I37" s="81">
        <f>134028+45000</f>
        <v>179028</v>
      </c>
      <c r="J37" s="151"/>
      <c r="K37" s="152"/>
      <c r="L37" s="153"/>
    </row>
    <row r="38" spans="1:12" s="8" customFormat="1" ht="12.75">
      <c r="A38" s="9">
        <v>758</v>
      </c>
      <c r="B38" s="10"/>
      <c r="C38" s="33" t="s">
        <v>12</v>
      </c>
      <c r="D38" s="416">
        <f>+D39+D40</f>
        <v>0</v>
      </c>
      <c r="E38" s="417">
        <f>+E39+E40</f>
        <v>782185.13</v>
      </c>
      <c r="F38" s="176">
        <f>+F39+F40</f>
        <v>2381297</v>
      </c>
      <c r="G38" s="158">
        <f>+G39+G40</f>
        <v>100000</v>
      </c>
      <c r="H38" s="154"/>
      <c r="I38" s="154"/>
      <c r="J38" s="155"/>
      <c r="K38" s="156">
        <f>+K39+K40</f>
        <v>0</v>
      </c>
      <c r="L38" s="288">
        <f>+L39+L40</f>
        <v>2281297</v>
      </c>
    </row>
    <row r="39" spans="1:12" ht="22.5">
      <c r="A39" s="11"/>
      <c r="B39" s="12">
        <v>75809</v>
      </c>
      <c r="C39" s="31" t="s">
        <v>69</v>
      </c>
      <c r="D39" s="415"/>
      <c r="E39" s="325">
        <v>782185.13</v>
      </c>
      <c r="F39" s="175">
        <f>SUM(G39+K39+L39)</f>
        <v>2281297</v>
      </c>
      <c r="G39" s="163"/>
      <c r="H39" s="81"/>
      <c r="I39" s="81"/>
      <c r="J39" s="151"/>
      <c r="K39" s="152"/>
      <c r="L39" s="153">
        <v>2281297</v>
      </c>
    </row>
    <row r="40" spans="1:12" ht="14.25" customHeight="1">
      <c r="A40" s="11"/>
      <c r="B40" s="12">
        <v>75818</v>
      </c>
      <c r="C40" s="32" t="s">
        <v>44</v>
      </c>
      <c r="D40" s="415">
        <v>0</v>
      </c>
      <c r="E40" s="325"/>
      <c r="F40" s="175">
        <f>SUM(G40+K40+L40)</f>
        <v>100000</v>
      </c>
      <c r="G40" s="163">
        <v>100000</v>
      </c>
      <c r="H40" s="81"/>
      <c r="I40" s="81"/>
      <c r="J40" s="151"/>
      <c r="K40" s="152"/>
      <c r="L40" s="153"/>
    </row>
    <row r="41" spans="1:12" s="8" customFormat="1" ht="14.25" customHeight="1">
      <c r="A41" s="9">
        <v>801</v>
      </c>
      <c r="B41" s="10"/>
      <c r="C41" s="33" t="s">
        <v>45</v>
      </c>
      <c r="D41" s="416">
        <f>SUM(D42:D50)</f>
        <v>24484177.82</v>
      </c>
      <c r="E41" s="417">
        <f>SUM(E42:E50)</f>
        <v>506234.09</v>
      </c>
      <c r="F41" s="176">
        <f>SUM(F42:F50)</f>
        <v>26518325</v>
      </c>
      <c r="G41" s="158">
        <f>SUM(G42:G50)</f>
        <v>25084325</v>
      </c>
      <c r="H41" s="154">
        <f>SUM(H42:H50)</f>
        <v>19866031</v>
      </c>
      <c r="I41" s="154"/>
      <c r="J41" s="155">
        <f>SUM(J42:J50)</f>
        <v>478377</v>
      </c>
      <c r="K41" s="156">
        <f>+K42+K43+K45+K47+K48+K50</f>
        <v>1434000</v>
      </c>
      <c r="L41" s="157"/>
    </row>
    <row r="42" spans="1:12" ht="14.25" customHeight="1">
      <c r="A42" s="11"/>
      <c r="B42" s="12">
        <v>80101</v>
      </c>
      <c r="C42" s="32" t="s">
        <v>33</v>
      </c>
      <c r="D42" s="415">
        <v>11132900.55</v>
      </c>
      <c r="E42" s="325">
        <v>456344.37</v>
      </c>
      <c r="F42" s="175">
        <f aca="true" t="shared" si="3" ref="F42:F50">SUM(G42+K42+L42)</f>
        <v>13180221</v>
      </c>
      <c r="G42" s="163">
        <f>10757552+32553+530000+43392+8270+4454+370000</f>
        <v>11746221</v>
      </c>
      <c r="H42" s="81">
        <f>8581419+32553+530000+370000</f>
        <v>9513972</v>
      </c>
      <c r="I42" s="81"/>
      <c r="J42" s="151">
        <v>297009</v>
      </c>
      <c r="K42" s="152">
        <v>1434000</v>
      </c>
      <c r="L42" s="153"/>
    </row>
    <row r="43" spans="1:12" ht="22.5" customHeight="1">
      <c r="A43" s="11"/>
      <c r="B43" s="12">
        <v>80103</v>
      </c>
      <c r="C43" s="31" t="s">
        <v>127</v>
      </c>
      <c r="D43" s="415">
        <v>920314.48</v>
      </c>
      <c r="E43" s="325"/>
      <c r="F43" s="175">
        <f t="shared" si="3"/>
        <v>926790</v>
      </c>
      <c r="G43" s="163">
        <v>926790</v>
      </c>
      <c r="H43" s="81">
        <v>645443</v>
      </c>
      <c r="I43" s="81"/>
      <c r="J43" s="151">
        <v>37204</v>
      </c>
      <c r="K43" s="152"/>
      <c r="L43" s="153"/>
    </row>
    <row r="44" spans="1:12" ht="15" customHeight="1">
      <c r="A44" s="11"/>
      <c r="B44" s="12">
        <v>80104</v>
      </c>
      <c r="C44" s="31" t="s">
        <v>94</v>
      </c>
      <c r="D44" s="415">
        <v>3296343.35</v>
      </c>
      <c r="E44" s="325">
        <v>12092.88</v>
      </c>
      <c r="F44" s="175">
        <f t="shared" si="3"/>
        <v>3471385</v>
      </c>
      <c r="G44" s="163">
        <v>3471385</v>
      </c>
      <c r="H44" s="81">
        <f>2477146+155635</f>
        <v>2632781</v>
      </c>
      <c r="I44" s="81"/>
      <c r="J44" s="151"/>
      <c r="K44" s="152"/>
      <c r="L44" s="153"/>
    </row>
    <row r="45" spans="1:12" ht="15.75" customHeight="1">
      <c r="A45" s="11"/>
      <c r="B45" s="12">
        <v>80110</v>
      </c>
      <c r="C45" s="32" t="s">
        <v>6</v>
      </c>
      <c r="D45" s="415">
        <v>6885233.09</v>
      </c>
      <c r="E45" s="325">
        <v>3000</v>
      </c>
      <c r="F45" s="175">
        <f t="shared" si="3"/>
        <v>6626766</v>
      </c>
      <c r="G45" s="163">
        <f>6603579+1707+21480</f>
        <v>6626766</v>
      </c>
      <c r="H45" s="81">
        <f>5353076+21480</f>
        <v>5374556</v>
      </c>
      <c r="I45" s="81"/>
      <c r="J45" s="151">
        <v>144164</v>
      </c>
      <c r="K45" s="152"/>
      <c r="L45" s="153"/>
    </row>
    <row r="46" spans="1:12" ht="15" customHeight="1">
      <c r="A46" s="11"/>
      <c r="B46" s="12">
        <v>80114</v>
      </c>
      <c r="C46" s="31" t="s">
        <v>194</v>
      </c>
      <c r="D46" s="415">
        <v>274342.04</v>
      </c>
      <c r="E46" s="325">
        <v>6126.84</v>
      </c>
      <c r="F46" s="175">
        <f t="shared" si="3"/>
        <v>284450</v>
      </c>
      <c r="G46" s="163">
        <v>284450</v>
      </c>
      <c r="H46" s="81">
        <v>255888</v>
      </c>
      <c r="I46" s="81"/>
      <c r="J46" s="151"/>
      <c r="K46" s="152"/>
      <c r="L46" s="153"/>
    </row>
    <row r="47" spans="1:12" ht="14.25" customHeight="1">
      <c r="A47" s="11"/>
      <c r="B47" s="12">
        <v>80120</v>
      </c>
      <c r="C47" s="32" t="s">
        <v>34</v>
      </c>
      <c r="D47" s="415">
        <v>1401633</v>
      </c>
      <c r="E47" s="325"/>
      <c r="F47" s="175">
        <f t="shared" si="3"/>
        <v>1530686</v>
      </c>
      <c r="G47" s="163">
        <f>1395487+135199</f>
        <v>1530686</v>
      </c>
      <c r="H47" s="81">
        <v>1275500</v>
      </c>
      <c r="I47" s="81"/>
      <c r="J47" s="151"/>
      <c r="K47" s="152"/>
      <c r="L47" s="153"/>
    </row>
    <row r="48" spans="1:12" s="6" customFormat="1" ht="15" customHeight="1">
      <c r="A48" s="11"/>
      <c r="B48" s="12">
        <v>80130</v>
      </c>
      <c r="C48" s="32" t="s">
        <v>87</v>
      </c>
      <c r="D48" s="415">
        <v>409355.89</v>
      </c>
      <c r="E48" s="325">
        <v>28670</v>
      </c>
      <c r="F48" s="175">
        <f t="shared" si="3"/>
        <v>391170</v>
      </c>
      <c r="G48" s="163">
        <f>295323+95847</f>
        <v>391170</v>
      </c>
      <c r="H48" s="81">
        <v>148600</v>
      </c>
      <c r="I48" s="81"/>
      <c r="J48" s="151"/>
      <c r="K48" s="152"/>
      <c r="L48" s="153"/>
    </row>
    <row r="49" spans="1:12" s="6" customFormat="1" ht="14.25" customHeight="1">
      <c r="A49" s="11"/>
      <c r="B49" s="12">
        <v>80146</v>
      </c>
      <c r="C49" s="32" t="s">
        <v>128</v>
      </c>
      <c r="D49" s="415">
        <v>95359.35</v>
      </c>
      <c r="E49" s="325"/>
      <c r="F49" s="175">
        <f t="shared" si="3"/>
        <v>106857</v>
      </c>
      <c r="G49" s="163">
        <f>96458+10399</f>
        <v>106857</v>
      </c>
      <c r="H49" s="81">
        <v>19291</v>
      </c>
      <c r="I49" s="81"/>
      <c r="J49" s="151"/>
      <c r="K49" s="152"/>
      <c r="L49" s="153"/>
    </row>
    <row r="50" spans="1:12" s="6" customFormat="1" ht="14.25" customHeight="1">
      <c r="A50" s="11"/>
      <c r="B50" s="12">
        <v>80195</v>
      </c>
      <c r="C50" s="32" t="s">
        <v>3</v>
      </c>
      <c r="D50" s="415">
        <v>68696.07</v>
      </c>
      <c r="E50" s="325"/>
      <c r="F50" s="175">
        <f t="shared" si="3"/>
        <v>0</v>
      </c>
      <c r="G50" s="163"/>
      <c r="H50" s="81"/>
      <c r="I50" s="81"/>
      <c r="J50" s="151"/>
      <c r="K50" s="152"/>
      <c r="L50" s="153"/>
    </row>
    <row r="51" spans="1:12" s="8" customFormat="1" ht="15" customHeight="1">
      <c r="A51" s="9">
        <v>851</v>
      </c>
      <c r="B51" s="10"/>
      <c r="C51" s="33" t="s">
        <v>7</v>
      </c>
      <c r="D51" s="416">
        <f>SUM(D53:D54)</f>
        <v>408462.95</v>
      </c>
      <c r="E51" s="417">
        <f>+E53</f>
        <v>0</v>
      </c>
      <c r="F51" s="214">
        <f>SUM(G51+K51+L51)</f>
        <v>422525</v>
      </c>
      <c r="G51" s="156">
        <f>SUM(G52:G54)</f>
        <v>422525</v>
      </c>
      <c r="H51" s="156">
        <f>SUM(H52:H54)</f>
        <v>50000</v>
      </c>
      <c r="I51" s="156">
        <f>SUM(I52:I54)</f>
        <v>0</v>
      </c>
      <c r="J51" s="156">
        <f>SUM(J52:J54)</f>
        <v>202000</v>
      </c>
      <c r="K51" s="156">
        <f>+K53</f>
        <v>0</v>
      </c>
      <c r="L51" s="157"/>
    </row>
    <row r="52" spans="1:12" s="8" customFormat="1" ht="15" customHeight="1">
      <c r="A52" s="9"/>
      <c r="B52" s="145">
        <v>85153</v>
      </c>
      <c r="C52" s="217" t="s">
        <v>202</v>
      </c>
      <c r="D52" s="419"/>
      <c r="E52" s="420"/>
      <c r="F52" s="175">
        <f>SUM(G52+K52+L52)</f>
        <v>20000</v>
      </c>
      <c r="G52" s="220">
        <v>20000</v>
      </c>
      <c r="H52" s="220"/>
      <c r="I52" s="221"/>
      <c r="J52" s="219"/>
      <c r="K52" s="218"/>
      <c r="L52" s="222"/>
    </row>
    <row r="53" spans="1:12" s="6" customFormat="1" ht="15" customHeight="1">
      <c r="A53" s="11"/>
      <c r="B53" s="12">
        <v>85154</v>
      </c>
      <c r="C53" s="32" t="s">
        <v>19</v>
      </c>
      <c r="D53" s="415">
        <v>407979.87</v>
      </c>
      <c r="E53" s="325"/>
      <c r="F53" s="175">
        <f>SUM(G53+K53+L53)</f>
        <v>402525</v>
      </c>
      <c r="G53" s="163">
        <f>390000+12525</f>
        <v>402525</v>
      </c>
      <c r="H53" s="81">
        <v>50000</v>
      </c>
      <c r="I53" s="81"/>
      <c r="J53" s="151">
        <v>202000</v>
      </c>
      <c r="K53" s="152"/>
      <c r="L53" s="153"/>
    </row>
    <row r="54" spans="1:12" s="6" customFormat="1" ht="15" customHeight="1">
      <c r="A54" s="11"/>
      <c r="B54" s="143">
        <v>85195</v>
      </c>
      <c r="C54" s="104" t="s">
        <v>3</v>
      </c>
      <c r="D54" s="281">
        <v>483.08</v>
      </c>
      <c r="E54" s="325"/>
      <c r="F54" s="175"/>
      <c r="G54" s="163"/>
      <c r="H54" s="81"/>
      <c r="I54" s="81"/>
      <c r="J54" s="151"/>
      <c r="K54" s="152"/>
      <c r="L54" s="153"/>
    </row>
    <row r="55" spans="1:12" s="8" customFormat="1" ht="15.75" customHeight="1">
      <c r="A55" s="9">
        <v>852</v>
      </c>
      <c r="B55" s="10"/>
      <c r="C55" s="33" t="s">
        <v>93</v>
      </c>
      <c r="D55" s="416">
        <f>SUM(D56:D63)</f>
        <v>14576195.08</v>
      </c>
      <c r="E55" s="417">
        <f>SUM(E56:E65)</f>
        <v>24415.4</v>
      </c>
      <c r="F55" s="176">
        <f>SUM(F56:F63)</f>
        <v>16980783</v>
      </c>
      <c r="G55" s="158">
        <f>SUM(G56:G63)</f>
        <v>16968783</v>
      </c>
      <c r="H55" s="154">
        <f>SUM(H56:H63)</f>
        <v>1457499</v>
      </c>
      <c r="I55" s="154"/>
      <c r="J55" s="155" t="s">
        <v>10</v>
      </c>
      <c r="K55" s="156">
        <f>SUM(K56:K65)</f>
        <v>12000</v>
      </c>
      <c r="L55" s="157"/>
    </row>
    <row r="56" spans="1:12" s="6" customFormat="1" ht="15.75" customHeight="1">
      <c r="A56" s="11"/>
      <c r="B56" s="12">
        <v>85203</v>
      </c>
      <c r="C56" s="32" t="s">
        <v>131</v>
      </c>
      <c r="D56" s="415">
        <v>496094.76</v>
      </c>
      <c r="E56" s="325">
        <v>4566</v>
      </c>
      <c r="F56" s="175">
        <f aca="true" t="shared" si="4" ref="F56:F61">SUM(G56+K56+L56)</f>
        <v>507392</v>
      </c>
      <c r="G56" s="163">
        <v>507392</v>
      </c>
      <c r="H56" s="81">
        <v>235185</v>
      </c>
      <c r="I56" s="81"/>
      <c r="J56" s="151"/>
      <c r="K56" s="152"/>
      <c r="L56" s="153"/>
    </row>
    <row r="57" spans="1:12" s="6" customFormat="1" ht="33" customHeight="1">
      <c r="A57" s="11"/>
      <c r="B57" s="12">
        <v>85212</v>
      </c>
      <c r="C57" s="68" t="s">
        <v>192</v>
      </c>
      <c r="D57" s="415">
        <v>9403360.1</v>
      </c>
      <c r="E57" s="325"/>
      <c r="F57" s="175">
        <f t="shared" si="4"/>
        <v>11956300</v>
      </c>
      <c r="G57" s="163">
        <f>11950000+6000+300</f>
        <v>11956300</v>
      </c>
      <c r="H57" s="81">
        <v>319423</v>
      </c>
      <c r="I57" s="81"/>
      <c r="J57" s="151" t="s">
        <v>10</v>
      </c>
      <c r="K57" s="152"/>
      <c r="L57" s="153"/>
    </row>
    <row r="58" spans="1:12" ht="45.75" customHeight="1">
      <c r="A58" s="11"/>
      <c r="B58" s="12">
        <v>85213</v>
      </c>
      <c r="C58" s="31" t="s">
        <v>193</v>
      </c>
      <c r="D58" s="415">
        <v>65009.66</v>
      </c>
      <c r="E58" s="325"/>
      <c r="F58" s="175">
        <f t="shared" si="4"/>
        <v>84374</v>
      </c>
      <c r="G58" s="163">
        <v>84374</v>
      </c>
      <c r="H58" s="81"/>
      <c r="I58" s="81"/>
      <c r="J58" s="151"/>
      <c r="K58" s="152"/>
      <c r="L58" s="153"/>
    </row>
    <row r="59" spans="1:12" s="6" customFormat="1" ht="23.25" customHeight="1">
      <c r="A59" s="11"/>
      <c r="B59" s="12">
        <v>85214</v>
      </c>
      <c r="C59" s="31" t="s">
        <v>129</v>
      </c>
      <c r="D59" s="415">
        <v>1463770.18</v>
      </c>
      <c r="E59" s="325">
        <v>0</v>
      </c>
      <c r="F59" s="175">
        <f t="shared" si="4"/>
        <v>1656860</v>
      </c>
      <c r="G59" s="163">
        <f>130000+1525860+1000</f>
        <v>1656860</v>
      </c>
      <c r="H59" s="81"/>
      <c r="I59" s="81"/>
      <c r="J59" s="151"/>
      <c r="K59" s="152"/>
      <c r="L59" s="153"/>
    </row>
    <row r="60" spans="1:12" ht="16.5" customHeight="1">
      <c r="A60" s="11"/>
      <c r="B60" s="12">
        <v>85215</v>
      </c>
      <c r="C60" s="32" t="s">
        <v>9</v>
      </c>
      <c r="D60" s="415">
        <v>678553.91</v>
      </c>
      <c r="E60" s="325"/>
      <c r="F60" s="175">
        <f t="shared" si="4"/>
        <v>800000</v>
      </c>
      <c r="G60" s="163">
        <v>800000</v>
      </c>
      <c r="H60" s="81"/>
      <c r="I60" s="81"/>
      <c r="J60" s="151"/>
      <c r="K60" s="152"/>
      <c r="L60" s="153"/>
    </row>
    <row r="61" spans="1:12" ht="14.25" customHeight="1">
      <c r="A61" s="11"/>
      <c r="B61" s="12">
        <v>85219</v>
      </c>
      <c r="C61" s="32" t="s">
        <v>35</v>
      </c>
      <c r="D61" s="415">
        <v>914443.58</v>
      </c>
      <c r="E61" s="325">
        <v>19849.4</v>
      </c>
      <c r="F61" s="175">
        <f t="shared" si="4"/>
        <v>992000</v>
      </c>
      <c r="G61" s="163">
        <v>980000</v>
      </c>
      <c r="H61" s="81">
        <v>870342</v>
      </c>
      <c r="I61" s="81"/>
      <c r="J61" s="151"/>
      <c r="K61" s="152">
        <v>12000</v>
      </c>
      <c r="L61" s="153"/>
    </row>
    <row r="62" spans="1:12" ht="14.25" customHeight="1">
      <c r="A62" s="11"/>
      <c r="B62" s="12">
        <v>85278</v>
      </c>
      <c r="C62" s="63" t="s">
        <v>191</v>
      </c>
      <c r="D62" s="415">
        <v>299336</v>
      </c>
      <c r="E62" s="325"/>
      <c r="F62" s="175"/>
      <c r="G62" s="163"/>
      <c r="H62" s="81"/>
      <c r="I62" s="81"/>
      <c r="J62" s="151"/>
      <c r="K62" s="152"/>
      <c r="L62" s="153"/>
    </row>
    <row r="63" spans="1:12" ht="14.25" customHeight="1">
      <c r="A63" s="11"/>
      <c r="B63" s="12">
        <v>85295</v>
      </c>
      <c r="C63" s="63" t="s">
        <v>3</v>
      </c>
      <c r="D63" s="415">
        <v>1255626.89</v>
      </c>
      <c r="E63" s="325"/>
      <c r="F63" s="175">
        <f>SUM(G63+K63+L63)</f>
        <v>983857</v>
      </c>
      <c r="G63" s="163">
        <f>72000+550000+358197+3660</f>
        <v>983857</v>
      </c>
      <c r="H63" s="81">
        <f>31360+1189</f>
        <v>32549</v>
      </c>
      <c r="I63" s="81"/>
      <c r="J63" s="151"/>
      <c r="K63" s="152"/>
      <c r="L63" s="153"/>
    </row>
    <row r="64" spans="1:12" ht="24.75" customHeight="1">
      <c r="A64" s="62">
        <v>853</v>
      </c>
      <c r="B64" s="12"/>
      <c r="C64" s="65" t="s">
        <v>97</v>
      </c>
      <c r="D64" s="418">
        <f>SUM(D65:D67)</f>
        <v>148437.02</v>
      </c>
      <c r="E64" s="325"/>
      <c r="F64" s="165">
        <f>SUM(F65:F66)</f>
        <v>153170</v>
      </c>
      <c r="G64" s="164">
        <f>SUM(G65:G66)</f>
        <v>153170</v>
      </c>
      <c r="H64" s="162">
        <f>SUM(H65:H66)</f>
        <v>112024</v>
      </c>
      <c r="I64" s="181">
        <f>SUM(I65:I66)</f>
        <v>0</v>
      </c>
      <c r="J64" s="159">
        <f>SUM(J65:J66)</f>
        <v>25000</v>
      </c>
      <c r="K64" s="152"/>
      <c r="L64" s="153"/>
    </row>
    <row r="65" spans="1:12" ht="15.75" customHeight="1">
      <c r="A65" s="11"/>
      <c r="B65" s="12">
        <v>85305</v>
      </c>
      <c r="C65" s="64" t="s">
        <v>8</v>
      </c>
      <c r="D65" s="415">
        <v>116398.12</v>
      </c>
      <c r="E65" s="325"/>
      <c r="F65" s="175">
        <f>SUM(G65+K65+L65)</f>
        <v>127170</v>
      </c>
      <c r="G65" s="163">
        <v>127170</v>
      </c>
      <c r="H65" s="81">
        <v>112024</v>
      </c>
      <c r="I65" s="81"/>
      <c r="J65" s="151"/>
      <c r="K65" s="152"/>
      <c r="L65" s="153"/>
    </row>
    <row r="66" spans="1:12" ht="23.25" customHeight="1">
      <c r="A66" s="11"/>
      <c r="B66" s="12">
        <v>85311</v>
      </c>
      <c r="C66" s="83" t="s">
        <v>130</v>
      </c>
      <c r="D66" s="415">
        <v>31043.6</v>
      </c>
      <c r="E66" s="325"/>
      <c r="F66" s="175">
        <f>SUM(G66+K66+L66)</f>
        <v>26000</v>
      </c>
      <c r="G66" s="163">
        <v>26000</v>
      </c>
      <c r="H66" s="81"/>
      <c r="I66" s="81"/>
      <c r="J66" s="151">
        <v>25000</v>
      </c>
      <c r="K66" s="152"/>
      <c r="L66" s="153"/>
    </row>
    <row r="67" spans="1:12" ht="16.5" customHeight="1">
      <c r="A67" s="11"/>
      <c r="B67" s="12">
        <v>85395</v>
      </c>
      <c r="C67" s="63" t="s">
        <v>3</v>
      </c>
      <c r="D67" s="415">
        <v>995.3</v>
      </c>
      <c r="E67" s="325"/>
      <c r="F67" s="175"/>
      <c r="G67" s="163"/>
      <c r="H67" s="81"/>
      <c r="I67" s="81"/>
      <c r="J67" s="151"/>
      <c r="K67" s="152"/>
      <c r="L67" s="153"/>
    </row>
    <row r="68" spans="1:12" s="8" customFormat="1" ht="12.75">
      <c r="A68" s="9">
        <v>854</v>
      </c>
      <c r="B68" s="10"/>
      <c r="C68" s="34" t="s">
        <v>36</v>
      </c>
      <c r="D68" s="416">
        <f>SUM(D69:D71)</f>
        <v>299060.08</v>
      </c>
      <c r="E68" s="417"/>
      <c r="F68" s="176"/>
      <c r="G68" s="158"/>
      <c r="H68" s="154"/>
      <c r="I68" s="154"/>
      <c r="J68" s="155"/>
      <c r="K68" s="156"/>
      <c r="L68" s="157"/>
    </row>
    <row r="69" spans="1:12" s="8" customFormat="1" ht="15.75" customHeight="1">
      <c r="A69" s="9"/>
      <c r="B69" s="145">
        <v>85404</v>
      </c>
      <c r="C69" s="144" t="s">
        <v>187</v>
      </c>
      <c r="D69" s="421">
        <v>5205.63</v>
      </c>
      <c r="E69" s="417"/>
      <c r="F69" s="175">
        <f>SUM(G69+K69+L69)</f>
        <v>0</v>
      </c>
      <c r="G69" s="158"/>
      <c r="H69" s="154"/>
      <c r="I69" s="154"/>
      <c r="J69" s="155"/>
      <c r="K69" s="156"/>
      <c r="L69" s="157"/>
    </row>
    <row r="70" spans="1:12" ht="15" customHeight="1">
      <c r="A70" s="11"/>
      <c r="B70" s="12">
        <v>85415</v>
      </c>
      <c r="C70" s="32" t="s">
        <v>56</v>
      </c>
      <c r="D70" s="415">
        <v>254854.45</v>
      </c>
      <c r="E70" s="325"/>
      <c r="F70" s="175">
        <f>SUM(G70+K70+L70)</f>
        <v>0</v>
      </c>
      <c r="G70" s="163"/>
      <c r="H70" s="81"/>
      <c r="I70" s="81"/>
      <c r="J70" s="151"/>
      <c r="K70" s="152"/>
      <c r="L70" s="153"/>
    </row>
    <row r="71" spans="1:12" ht="15.75" customHeight="1">
      <c r="A71" s="11"/>
      <c r="B71" s="12">
        <v>85495</v>
      </c>
      <c r="C71" s="63" t="s">
        <v>3</v>
      </c>
      <c r="D71" s="415">
        <v>39000</v>
      </c>
      <c r="E71" s="325"/>
      <c r="F71" s="175">
        <f>SUM(G71+K71+L71)</f>
        <v>0</v>
      </c>
      <c r="G71" s="163"/>
      <c r="H71" s="81"/>
      <c r="I71" s="81"/>
      <c r="J71" s="151"/>
      <c r="K71" s="152"/>
      <c r="L71" s="153"/>
    </row>
    <row r="72" spans="1:12" s="8" customFormat="1" ht="22.5">
      <c r="A72" s="9">
        <v>900</v>
      </c>
      <c r="B72" s="10"/>
      <c r="C72" s="34" t="s">
        <v>144</v>
      </c>
      <c r="D72" s="422">
        <f aca="true" t="shared" si="5" ref="D72:K72">SUM(D73:D77)</f>
        <v>2713941.51</v>
      </c>
      <c r="E72" s="423">
        <f t="shared" si="5"/>
        <v>2735769.19</v>
      </c>
      <c r="F72" s="177">
        <f t="shared" si="5"/>
        <v>6296422</v>
      </c>
      <c r="G72" s="179">
        <f>SUM(G73:G77)</f>
        <v>3265496</v>
      </c>
      <c r="H72" s="166">
        <f t="shared" si="5"/>
        <v>700000</v>
      </c>
      <c r="I72" s="166" t="s">
        <v>10</v>
      </c>
      <c r="J72" s="167"/>
      <c r="K72" s="168">
        <f t="shared" si="5"/>
        <v>3030926</v>
      </c>
      <c r="L72" s="157"/>
    </row>
    <row r="73" spans="1:12" ht="14.25" customHeight="1">
      <c r="A73" s="11"/>
      <c r="B73" s="12">
        <v>90001</v>
      </c>
      <c r="C73" s="31" t="s">
        <v>73</v>
      </c>
      <c r="D73" s="424">
        <v>0</v>
      </c>
      <c r="E73" s="325">
        <v>2068771.79</v>
      </c>
      <c r="F73" s="175">
        <f>SUM(G73+K73+L73)</f>
        <v>1803600</v>
      </c>
      <c r="G73" s="163"/>
      <c r="H73" s="81"/>
      <c r="I73" s="81"/>
      <c r="J73" s="151"/>
      <c r="K73" s="152">
        <v>1803600</v>
      </c>
      <c r="L73" s="153"/>
    </row>
    <row r="74" spans="1:12" ht="14.25" customHeight="1">
      <c r="A74" s="11"/>
      <c r="B74" s="12">
        <v>90003</v>
      </c>
      <c r="C74" s="32" t="s">
        <v>46</v>
      </c>
      <c r="D74" s="415">
        <v>970105.94</v>
      </c>
      <c r="E74" s="325"/>
      <c r="F74" s="175">
        <f>SUM(G74+K74+L74)</f>
        <v>1014000</v>
      </c>
      <c r="G74" s="163">
        <v>1014000</v>
      </c>
      <c r="H74" s="81">
        <v>600000</v>
      </c>
      <c r="I74" s="81"/>
      <c r="J74" s="151"/>
      <c r="K74" s="152"/>
      <c r="L74" s="153"/>
    </row>
    <row r="75" spans="1:12" ht="14.25" customHeight="1">
      <c r="A75" s="11"/>
      <c r="B75" s="12">
        <v>90004</v>
      </c>
      <c r="C75" s="32" t="s">
        <v>53</v>
      </c>
      <c r="D75" s="415">
        <v>47370.67</v>
      </c>
      <c r="E75" s="325"/>
      <c r="F75" s="175">
        <f>SUM(G75+K75+L75)</f>
        <v>50000</v>
      </c>
      <c r="G75" s="163">
        <v>50000</v>
      </c>
      <c r="H75" s="81"/>
      <c r="I75" s="81"/>
      <c r="J75" s="151"/>
      <c r="K75" s="152"/>
      <c r="L75" s="153"/>
    </row>
    <row r="76" spans="1:12" ht="14.25" customHeight="1">
      <c r="A76" s="11"/>
      <c r="B76" s="12">
        <v>90015</v>
      </c>
      <c r="C76" s="32" t="s">
        <v>47</v>
      </c>
      <c r="D76" s="415">
        <v>1100516.2</v>
      </c>
      <c r="E76" s="325">
        <v>67174.8</v>
      </c>
      <c r="F76" s="175">
        <f>SUM(G76+K76+L76)</f>
        <v>1465000</v>
      </c>
      <c r="G76" s="163">
        <v>1250000</v>
      </c>
      <c r="H76" s="81"/>
      <c r="I76" s="81"/>
      <c r="J76" s="151"/>
      <c r="K76" s="152">
        <v>215000</v>
      </c>
      <c r="L76" s="153"/>
    </row>
    <row r="77" spans="1:12" ht="14.25" customHeight="1">
      <c r="A77" s="11"/>
      <c r="B77" s="12">
        <v>90095</v>
      </c>
      <c r="C77" s="32" t="s">
        <v>3</v>
      </c>
      <c r="D77" s="415">
        <v>595948.7</v>
      </c>
      <c r="E77" s="325">
        <v>599822.6</v>
      </c>
      <c r="F77" s="175">
        <f>SUM(G77+K77+L77)</f>
        <v>1963822</v>
      </c>
      <c r="G77" s="163">
        <f>972870-21374</f>
        <v>951496</v>
      </c>
      <c r="H77" s="81">
        <v>100000</v>
      </c>
      <c r="I77" s="81"/>
      <c r="J77" s="151"/>
      <c r="K77" s="152">
        <v>1012326</v>
      </c>
      <c r="L77" s="153"/>
    </row>
    <row r="78" spans="1:12" s="8" customFormat="1" ht="22.5">
      <c r="A78" s="9">
        <v>921</v>
      </c>
      <c r="B78" s="10"/>
      <c r="C78" s="34" t="s">
        <v>48</v>
      </c>
      <c r="D78" s="416">
        <f>SUM(D79:D82)</f>
        <v>1875000</v>
      </c>
      <c r="E78" s="417">
        <f>SUM(E79:E82)</f>
        <v>57926.84</v>
      </c>
      <c r="F78" s="176">
        <f aca="true" t="shared" si="6" ref="F78:K78">SUM(F79:F81)</f>
        <v>2040700</v>
      </c>
      <c r="G78" s="158">
        <f>SUM(G79:G81)</f>
        <v>1813700</v>
      </c>
      <c r="H78" s="169"/>
      <c r="I78" s="169"/>
      <c r="J78" s="155">
        <f t="shared" si="6"/>
        <v>1813700</v>
      </c>
      <c r="K78" s="156">
        <f t="shared" si="6"/>
        <v>227000</v>
      </c>
      <c r="L78" s="157"/>
    </row>
    <row r="79" spans="1:12" ht="14.25" customHeight="1">
      <c r="A79" s="11"/>
      <c r="B79" s="12">
        <v>92109</v>
      </c>
      <c r="C79" s="32" t="s">
        <v>49</v>
      </c>
      <c r="D79" s="415">
        <v>1142000</v>
      </c>
      <c r="E79" s="325">
        <v>17926.84</v>
      </c>
      <c r="F79" s="175">
        <f>SUM(G79+K79+L79)</f>
        <v>1365700</v>
      </c>
      <c r="G79" s="163">
        <f>1130000+6500+2200</f>
        <v>1138700</v>
      </c>
      <c r="H79" s="77"/>
      <c r="I79" s="77"/>
      <c r="J79" s="151">
        <v>1138700</v>
      </c>
      <c r="K79" s="152">
        <v>227000</v>
      </c>
      <c r="L79" s="153"/>
    </row>
    <row r="80" spans="1:12" ht="14.25" customHeight="1">
      <c r="A80" s="11"/>
      <c r="B80" s="12">
        <v>92116</v>
      </c>
      <c r="C80" s="32" t="s">
        <v>18</v>
      </c>
      <c r="D80" s="415">
        <v>421000</v>
      </c>
      <c r="E80" s="325"/>
      <c r="F80" s="175">
        <f>SUM(G80+K80+L80)</f>
        <v>380000</v>
      </c>
      <c r="G80" s="163">
        <v>380000</v>
      </c>
      <c r="H80" s="77"/>
      <c r="I80" s="77"/>
      <c r="J80" s="151">
        <v>380000</v>
      </c>
      <c r="K80" s="152"/>
      <c r="L80" s="153"/>
    </row>
    <row r="81" spans="1:12" ht="14.25" customHeight="1">
      <c r="A81" s="11"/>
      <c r="B81" s="12">
        <v>92118</v>
      </c>
      <c r="C81" s="32" t="s">
        <v>50</v>
      </c>
      <c r="D81" s="415">
        <v>312000</v>
      </c>
      <c r="E81" s="325"/>
      <c r="F81" s="175">
        <f>SUM(G81+K81+L81)</f>
        <v>295000</v>
      </c>
      <c r="G81" s="163">
        <v>295000</v>
      </c>
      <c r="H81" s="77"/>
      <c r="I81" s="77"/>
      <c r="J81" s="151">
        <v>295000</v>
      </c>
      <c r="K81" s="152"/>
      <c r="L81" s="153"/>
    </row>
    <row r="82" spans="1:12" ht="14.25" customHeight="1">
      <c r="A82" s="11"/>
      <c r="B82" s="12">
        <v>92195</v>
      </c>
      <c r="C82" s="32" t="s">
        <v>3</v>
      </c>
      <c r="D82" s="415"/>
      <c r="E82" s="325">
        <v>40000</v>
      </c>
      <c r="F82" s="175"/>
      <c r="G82" s="163"/>
      <c r="H82" s="77"/>
      <c r="I82" s="77"/>
      <c r="J82" s="151"/>
      <c r="K82" s="152"/>
      <c r="L82" s="153"/>
    </row>
    <row r="83" spans="1:12" s="8" customFormat="1" ht="14.25" customHeight="1">
      <c r="A83" s="9">
        <v>926</v>
      </c>
      <c r="B83" s="10"/>
      <c r="C83" s="33" t="s">
        <v>14</v>
      </c>
      <c r="D83" s="416">
        <f>SUM(D84:D85)</f>
        <v>878261.13</v>
      </c>
      <c r="E83" s="417">
        <f>SUM(E84:E85)</f>
        <v>35295.34</v>
      </c>
      <c r="F83" s="176">
        <f>SUM(F84:F85)</f>
        <v>963000</v>
      </c>
      <c r="G83" s="158">
        <f>SUM(G84:G85)</f>
        <v>905000</v>
      </c>
      <c r="H83" s="169"/>
      <c r="I83" s="169"/>
      <c r="J83" s="160">
        <f>SUM(J84:J85)</f>
        <v>551000</v>
      </c>
      <c r="K83" s="156">
        <f>SUM(K84:K84)</f>
        <v>58000</v>
      </c>
      <c r="L83" s="157"/>
    </row>
    <row r="84" spans="1:12" ht="15.75" customHeight="1">
      <c r="A84" s="19"/>
      <c r="B84" s="20">
        <v>92605</v>
      </c>
      <c r="C84" s="36" t="s">
        <v>70</v>
      </c>
      <c r="D84" s="425">
        <v>543450.13</v>
      </c>
      <c r="E84" s="325">
        <v>15271</v>
      </c>
      <c r="F84" s="175">
        <f>SUM(G84+K84+L84)</f>
        <v>633000</v>
      </c>
      <c r="G84" s="163">
        <v>575000</v>
      </c>
      <c r="H84" s="81">
        <v>5000</v>
      </c>
      <c r="I84" s="77"/>
      <c r="J84" s="151">
        <v>221000</v>
      </c>
      <c r="K84" s="152">
        <v>58000</v>
      </c>
      <c r="L84" s="153">
        <v>0</v>
      </c>
    </row>
    <row r="85" spans="1:12" ht="14.25" customHeight="1" thickBot="1">
      <c r="A85" s="66"/>
      <c r="B85" s="20">
        <v>92695</v>
      </c>
      <c r="C85" s="36" t="s">
        <v>98</v>
      </c>
      <c r="D85" s="425">
        <v>334811</v>
      </c>
      <c r="E85" s="336">
        <v>20024.34</v>
      </c>
      <c r="F85" s="175">
        <f>SUM(G85+K85+L85)</f>
        <v>330000</v>
      </c>
      <c r="G85" s="180">
        <v>330000</v>
      </c>
      <c r="H85" s="170"/>
      <c r="I85" s="170"/>
      <c r="J85" s="171">
        <v>330000</v>
      </c>
      <c r="K85" s="152"/>
      <c r="L85" s="153"/>
    </row>
    <row r="86" spans="1:12" s="7" customFormat="1" ht="15.75" customHeight="1" thickBot="1">
      <c r="A86" s="21"/>
      <c r="B86" s="22"/>
      <c r="C86" s="37" t="s">
        <v>13</v>
      </c>
      <c r="D86" s="426">
        <f>SUM(D83+D78+D72+D68+D64+D55+D51+D41+D38+D35+D33+D29+D26+D21+D18+D14+D10+D6)</f>
        <v>55947250.81999999</v>
      </c>
      <c r="E86" s="426">
        <f>SUM(E83+E78+E72+E68+E64+E55+E51+E41+E38+E35+E33+E29+E26+E21+E18+E14+E10+E6)</f>
        <v>21965088.86</v>
      </c>
      <c r="F86" s="172">
        <f>SUM(F83+F78+F72+F68+F64+F55+F51+F41+F38+F35+F33+F29+F26+F21+F18+F14+F10+F6)</f>
        <v>73493256</v>
      </c>
      <c r="G86" s="172">
        <f>SUM(G83+G78+G72+G68+G64+G55+G51+G41+G38+G35+G33+G29+G26+G21+G18+G14+G10+G6)</f>
        <v>61222659</v>
      </c>
      <c r="H86" s="172">
        <f>SUM(H83+H78+H72+H68+H64+H55+H51+H41+H38+H35+H33+H29+H26+H21+H18+H14+H10+H6)</f>
        <v>26724184</v>
      </c>
      <c r="I86" s="172">
        <f>I35</f>
        <v>429528</v>
      </c>
      <c r="J86" s="172">
        <f>SUM(J83+J78+J64+J51+J41)</f>
        <v>3070077</v>
      </c>
      <c r="K86" s="172">
        <f>SUM(K83+K78+K72+K68+K64+K55+K51+K41+K38+K35+K33+K29+K26+K21+K18+K14+K10+K6)</f>
        <v>9881300</v>
      </c>
      <c r="L86" s="289">
        <f>SUM(L83+L78+L72+L68+L64+L55+L51+L41+L38+L35+L33+L29+L26+L21+L18+L14+L10+L6)</f>
        <v>2389297</v>
      </c>
    </row>
    <row r="87" spans="8:13" ht="12.75">
      <c r="H87" s="28" t="s">
        <v>10</v>
      </c>
      <c r="M87" s="1" t="s">
        <v>10</v>
      </c>
    </row>
    <row r="89" spans="7:12" ht="12.75">
      <c r="G89" s="28" t="s">
        <v>147</v>
      </c>
      <c r="L89" s="1" t="s">
        <v>10</v>
      </c>
    </row>
    <row r="92" ht="12.75">
      <c r="K92" s="28" t="s">
        <v>10</v>
      </c>
    </row>
  </sheetData>
  <sheetProtection/>
  <mergeCells count="12">
    <mergeCell ref="A1:C1"/>
    <mergeCell ref="G3:J3"/>
    <mergeCell ref="G4:G5"/>
    <mergeCell ref="H4:J4"/>
    <mergeCell ref="F3:F5"/>
    <mergeCell ref="C3:C5"/>
    <mergeCell ref="A3:A5"/>
    <mergeCell ref="B3:B5"/>
    <mergeCell ref="L3:L5"/>
    <mergeCell ref="D3:E4"/>
    <mergeCell ref="K3:K5"/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Q177"/>
  <sheetViews>
    <sheetView zoomScalePageLayoutView="0" workbookViewId="0" topLeftCell="A175">
      <selection activeCell="D173" sqref="D173:F176"/>
    </sheetView>
  </sheetViews>
  <sheetFormatPr defaultColWidth="9.00390625" defaultRowHeight="12.75"/>
  <cols>
    <col min="1" max="1" width="5.125" style="45" customWidth="1"/>
    <col min="2" max="2" width="5.625" style="46" customWidth="1"/>
    <col min="3" max="3" width="5.00390625" style="47" customWidth="1"/>
    <col min="4" max="4" width="39.75390625" style="28" customWidth="1"/>
    <col min="5" max="5" width="11.00390625" style="28" customWidth="1"/>
    <col min="6" max="6" width="10.375" style="69" customWidth="1"/>
    <col min="7" max="7" width="10.00390625" style="28" customWidth="1"/>
  </cols>
  <sheetData>
    <row r="1" spans="1:4" ht="54.75" customHeight="1">
      <c r="A1" s="571" t="s">
        <v>445</v>
      </c>
      <c r="B1" s="571"/>
      <c r="C1" s="571"/>
      <c r="D1" s="571"/>
    </row>
    <row r="2" spans="1:7" ht="18.75" customHeight="1">
      <c r="A2" s="717" t="s">
        <v>176</v>
      </c>
      <c r="B2" s="717"/>
      <c r="C2" s="717"/>
      <c r="D2" s="717"/>
      <c r="E2" s="717"/>
      <c r="F2" s="717"/>
      <c r="G2" s="717"/>
    </row>
    <row r="3" spans="1:7" ht="18.75" customHeight="1" thickBot="1">
      <c r="A3" s="272"/>
      <c r="B3" s="272"/>
      <c r="C3" s="272"/>
      <c r="D3" s="272"/>
      <c r="E3" s="272"/>
      <c r="F3" s="272"/>
      <c r="G3" s="272"/>
    </row>
    <row r="4" spans="1:7" ht="37.5" customHeight="1" thickBot="1">
      <c r="A4" s="48" t="s">
        <v>0</v>
      </c>
      <c r="B4" s="49" t="s">
        <v>1</v>
      </c>
      <c r="C4" s="50" t="s">
        <v>75</v>
      </c>
      <c r="D4" s="51" t="s">
        <v>2</v>
      </c>
      <c r="E4" s="40" t="s">
        <v>252</v>
      </c>
      <c r="F4" s="70" t="s">
        <v>177</v>
      </c>
      <c r="G4" s="41" t="s">
        <v>120</v>
      </c>
    </row>
    <row r="5" spans="1:7" ht="12" customHeight="1" thickBot="1">
      <c r="A5" s="58">
        <v>1</v>
      </c>
      <c r="B5" s="59">
        <v>2</v>
      </c>
      <c r="C5" s="73">
        <v>3</v>
      </c>
      <c r="D5" s="60">
        <v>4</v>
      </c>
      <c r="E5" s="61">
        <v>5</v>
      </c>
      <c r="F5" s="72">
        <v>6</v>
      </c>
      <c r="G5" s="61">
        <v>7</v>
      </c>
    </row>
    <row r="6" spans="1:62" s="5" customFormat="1" ht="16.5" customHeight="1" thickBot="1" thickTop="1">
      <c r="A6" s="363">
        <v>10</v>
      </c>
      <c r="B6" s="364"/>
      <c r="C6" s="365"/>
      <c r="D6" s="183" t="s">
        <v>27</v>
      </c>
      <c r="E6" s="326">
        <f>E7+E10</f>
        <v>2048715.99</v>
      </c>
      <c r="F6" s="333">
        <f>F7+F10</f>
        <v>799502</v>
      </c>
      <c r="G6" s="35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6.5" customHeight="1">
      <c r="A7" s="366"/>
      <c r="B7" s="367">
        <v>1010</v>
      </c>
      <c r="C7" s="345"/>
      <c r="D7" s="184" t="s">
        <v>67</v>
      </c>
      <c r="E7" s="283">
        <f>SUM(E8:E9)</f>
        <v>2017855.63</v>
      </c>
      <c r="F7" s="253">
        <f>SUM(F8:F9)</f>
        <v>799002</v>
      </c>
      <c r="G7" s="25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2.5" customHeight="1">
      <c r="A8" s="368"/>
      <c r="B8" s="369"/>
      <c r="C8" s="370">
        <v>960</v>
      </c>
      <c r="D8" s="78" t="s">
        <v>136</v>
      </c>
      <c r="E8" s="325">
        <v>112257.7</v>
      </c>
      <c r="F8" s="81"/>
      <c r="G8" s="8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9" customHeight="1">
      <c r="A9" s="368"/>
      <c r="B9" s="369"/>
      <c r="C9" s="370">
        <v>6298</v>
      </c>
      <c r="D9" s="78" t="s">
        <v>104</v>
      </c>
      <c r="E9" s="325">
        <v>1905597.93</v>
      </c>
      <c r="F9" s="81">
        <v>799002</v>
      </c>
      <c r="G9" s="8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8" customHeight="1">
      <c r="A10" s="368"/>
      <c r="B10" s="371">
        <v>1095</v>
      </c>
      <c r="C10" s="372"/>
      <c r="D10" s="82" t="s">
        <v>3</v>
      </c>
      <c r="E10" s="329">
        <f>SUM(E11:E12)</f>
        <v>30860.36</v>
      </c>
      <c r="F10" s="178">
        <f>SUM(F11)</f>
        <v>500</v>
      </c>
      <c r="G10" s="178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6.5" customHeight="1">
      <c r="A11" s="368"/>
      <c r="B11" s="369"/>
      <c r="C11" s="370">
        <v>690</v>
      </c>
      <c r="D11" s="78" t="s">
        <v>80</v>
      </c>
      <c r="E11" s="327">
        <v>318</v>
      </c>
      <c r="F11" s="81">
        <v>500</v>
      </c>
      <c r="G11" s="81"/>
      <c r="H11" t="s">
        <v>10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47.25" customHeight="1" thickBot="1">
      <c r="A12" s="373"/>
      <c r="B12" s="374"/>
      <c r="C12" s="375">
        <v>2010</v>
      </c>
      <c r="D12" s="259" t="s">
        <v>138</v>
      </c>
      <c r="E12" s="328">
        <v>30542.36</v>
      </c>
      <c r="F12" s="212"/>
      <c r="G12" s="35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7" s="7" customFormat="1" ht="16.5" customHeight="1" thickBot="1">
      <c r="A13" s="376">
        <v>600</v>
      </c>
      <c r="B13" s="377"/>
      <c r="C13" s="378"/>
      <c r="D13" s="185" t="s">
        <v>26</v>
      </c>
      <c r="E13" s="331">
        <f>SUM(E14)</f>
        <v>1895229.28</v>
      </c>
      <c r="F13" s="330">
        <f>SUM(F14)</f>
        <v>1643598</v>
      </c>
      <c r="G13" s="352"/>
    </row>
    <row r="14" spans="1:7" s="7" customFormat="1" ht="16.5" customHeight="1">
      <c r="A14" s="379"/>
      <c r="B14" s="367">
        <v>60016</v>
      </c>
      <c r="C14" s="345"/>
      <c r="D14" s="184" t="s">
        <v>16</v>
      </c>
      <c r="E14" s="283">
        <f>SUM(E15:E16)</f>
        <v>1895229.28</v>
      </c>
      <c r="F14" s="253">
        <f>SUM(F15:F16)</f>
        <v>1643598</v>
      </c>
      <c r="G14" s="147"/>
    </row>
    <row r="15" spans="1:7" s="7" customFormat="1" ht="43.5" customHeight="1">
      <c r="A15" s="379"/>
      <c r="B15" s="367"/>
      <c r="C15" s="380">
        <v>6260</v>
      </c>
      <c r="D15" s="186" t="s">
        <v>178</v>
      </c>
      <c r="E15" s="327">
        <v>45000</v>
      </c>
      <c r="F15" s="353"/>
      <c r="G15" s="353"/>
    </row>
    <row r="16" spans="1:7" s="7" customFormat="1" ht="42" customHeight="1" thickBot="1">
      <c r="A16" s="379"/>
      <c r="B16" s="367"/>
      <c r="C16" s="370">
        <v>6298</v>
      </c>
      <c r="D16" s="78" t="s">
        <v>104</v>
      </c>
      <c r="E16" s="328">
        <v>1850229.28</v>
      </c>
      <c r="F16" s="353">
        <v>1643598</v>
      </c>
      <c r="G16" s="353"/>
    </row>
    <row r="17" spans="1:69" ht="16.5" customHeight="1" thickBot="1">
      <c r="A17" s="381">
        <v>700</v>
      </c>
      <c r="B17" s="377"/>
      <c r="C17" s="378"/>
      <c r="D17" s="187" t="s">
        <v>4</v>
      </c>
      <c r="E17" s="331">
        <f>+E18+E26</f>
        <v>3952147.47</v>
      </c>
      <c r="F17" s="330">
        <f>+F18</f>
        <v>1324870</v>
      </c>
      <c r="G17" s="35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6.5" customHeight="1">
      <c r="A18" s="366"/>
      <c r="B18" s="367">
        <v>70005</v>
      </c>
      <c r="C18" s="345"/>
      <c r="D18" s="188" t="s">
        <v>52</v>
      </c>
      <c r="E18" s="283">
        <f>SUM(E19:E25)</f>
        <v>2179495.47</v>
      </c>
      <c r="F18" s="253">
        <f>SUM(F19:F25)</f>
        <v>1324870</v>
      </c>
      <c r="G18" s="211"/>
      <c r="H18" s="1" t="s">
        <v>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22.5">
      <c r="A19" s="366"/>
      <c r="B19" s="367"/>
      <c r="C19" s="370">
        <v>470</v>
      </c>
      <c r="D19" s="78" t="s">
        <v>106</v>
      </c>
      <c r="E19" s="325">
        <v>170764.5</v>
      </c>
      <c r="F19" s="81">
        <v>113620</v>
      </c>
      <c r="G19" s="8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6.5" customHeight="1">
      <c r="A20" s="366"/>
      <c r="B20" s="367"/>
      <c r="C20" s="370">
        <v>690</v>
      </c>
      <c r="D20" s="78" t="s">
        <v>80</v>
      </c>
      <c r="E20" s="325">
        <v>35648.78</v>
      </c>
      <c r="F20" s="81">
        <v>9600</v>
      </c>
      <c r="G20" s="8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59.25" customHeight="1">
      <c r="A21" s="368"/>
      <c r="B21" s="369"/>
      <c r="C21" s="370">
        <v>750</v>
      </c>
      <c r="D21" s="78" t="s">
        <v>107</v>
      </c>
      <c r="E21" s="325">
        <v>812291.65</v>
      </c>
      <c r="F21" s="81">
        <f>653000+4000</f>
        <v>657000</v>
      </c>
      <c r="G21" s="8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33.75">
      <c r="A22" s="368"/>
      <c r="B22" s="369"/>
      <c r="C22" s="370">
        <v>760</v>
      </c>
      <c r="D22" s="78" t="s">
        <v>89</v>
      </c>
      <c r="E22" s="325">
        <v>12645</v>
      </c>
      <c r="F22" s="81">
        <v>25000</v>
      </c>
      <c r="G22" s="8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6.5" customHeight="1">
      <c r="A23" s="368"/>
      <c r="B23" s="369"/>
      <c r="C23" s="370">
        <v>830</v>
      </c>
      <c r="D23" s="78" t="s">
        <v>57</v>
      </c>
      <c r="E23" s="325">
        <v>10976.66</v>
      </c>
      <c r="F23" s="81">
        <v>5000</v>
      </c>
      <c r="G23" s="17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6.5" customHeight="1">
      <c r="A24" s="368"/>
      <c r="B24" s="369"/>
      <c r="C24" s="370">
        <v>870</v>
      </c>
      <c r="D24" s="78" t="s">
        <v>122</v>
      </c>
      <c r="E24" s="325">
        <v>1114300.64</v>
      </c>
      <c r="F24" s="81">
        <v>513650</v>
      </c>
      <c r="G24" s="8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7" ht="22.5" customHeight="1">
      <c r="A25" s="368"/>
      <c r="B25" s="369"/>
      <c r="C25" s="370">
        <v>910</v>
      </c>
      <c r="D25" s="78" t="s">
        <v>137</v>
      </c>
      <c r="E25" s="281">
        <v>22868.24</v>
      </c>
      <c r="F25" s="81">
        <v>1000</v>
      </c>
      <c r="G25" s="178"/>
    </row>
    <row r="26" spans="1:7" ht="16.5" customHeight="1">
      <c r="A26" s="368"/>
      <c r="B26" s="371">
        <v>70095</v>
      </c>
      <c r="C26" s="372"/>
      <c r="D26" s="82" t="s">
        <v>3</v>
      </c>
      <c r="E26" s="329">
        <f>SUM(E27)</f>
        <v>1772652</v>
      </c>
      <c r="F26" s="178">
        <f>SUM(F27)</f>
        <v>0</v>
      </c>
      <c r="G26" s="178"/>
    </row>
    <row r="27" spans="1:7" ht="38.25" customHeight="1" thickBot="1">
      <c r="A27" s="382"/>
      <c r="B27" s="383"/>
      <c r="C27" s="384">
        <v>6290</v>
      </c>
      <c r="D27" s="189" t="s">
        <v>179</v>
      </c>
      <c r="E27" s="332">
        <v>1772652</v>
      </c>
      <c r="F27" s="355"/>
      <c r="G27" s="355"/>
    </row>
    <row r="28" spans="1:7" ht="16.5" customHeight="1" thickBot="1">
      <c r="A28" s="376">
        <v>710</v>
      </c>
      <c r="B28" s="385"/>
      <c r="C28" s="365"/>
      <c r="D28" s="190" t="s">
        <v>39</v>
      </c>
      <c r="E28" s="326">
        <f>SUM(E29)</f>
        <v>2000</v>
      </c>
      <c r="F28" s="333">
        <f>SUM(F29)</f>
        <v>0</v>
      </c>
      <c r="G28" s="350"/>
    </row>
    <row r="29" spans="1:7" ht="16.5" customHeight="1">
      <c r="A29" s="379"/>
      <c r="B29" s="367">
        <v>71035</v>
      </c>
      <c r="C29" s="345"/>
      <c r="D29" s="188" t="s">
        <v>88</v>
      </c>
      <c r="E29" s="283">
        <f>SUM(E30)</f>
        <v>2000</v>
      </c>
      <c r="F29" s="253">
        <f>SUM(F30)</f>
        <v>0</v>
      </c>
      <c r="G29" s="211"/>
    </row>
    <row r="30" spans="1:7" ht="39" customHeight="1" thickBot="1">
      <c r="A30" s="386"/>
      <c r="B30" s="387"/>
      <c r="C30" s="388">
        <v>2020</v>
      </c>
      <c r="D30" s="191" t="s">
        <v>108</v>
      </c>
      <c r="E30" s="281">
        <v>2000</v>
      </c>
      <c r="F30" s="81"/>
      <c r="G30" s="81"/>
    </row>
    <row r="31" spans="1:7" ht="16.5" customHeight="1" thickBot="1">
      <c r="A31" s="381">
        <v>750</v>
      </c>
      <c r="B31" s="377"/>
      <c r="C31" s="378"/>
      <c r="D31" s="185" t="s">
        <v>28</v>
      </c>
      <c r="E31" s="331">
        <f>+E36+E32+E41</f>
        <v>398381.32</v>
      </c>
      <c r="F31" s="330">
        <f>+F36+F32+F41</f>
        <v>589569</v>
      </c>
      <c r="G31" s="330">
        <f>+G36+G32</f>
        <v>205876</v>
      </c>
    </row>
    <row r="32" spans="1:7" ht="16.5" customHeight="1">
      <c r="A32" s="379"/>
      <c r="B32" s="367">
        <v>75011</v>
      </c>
      <c r="C32" s="345"/>
      <c r="D32" s="184" t="s">
        <v>54</v>
      </c>
      <c r="E32" s="283">
        <f>SUM(E33:E35)</f>
        <v>222252.88</v>
      </c>
      <c r="F32" s="253">
        <f>SUM(F33:F35)</f>
        <v>217286</v>
      </c>
      <c r="G32" s="253">
        <f>SUM(G33:G35)</f>
        <v>205876</v>
      </c>
    </row>
    <row r="33" spans="1:7" ht="45.75" customHeight="1">
      <c r="A33" s="389"/>
      <c r="B33" s="371"/>
      <c r="C33" s="370">
        <v>2010</v>
      </c>
      <c r="D33" s="78" t="s">
        <v>138</v>
      </c>
      <c r="E33" s="325">
        <v>205663</v>
      </c>
      <c r="F33" s="81">
        <v>205876</v>
      </c>
      <c r="G33" s="81">
        <v>205876</v>
      </c>
    </row>
    <row r="34" spans="1:7" ht="38.25" customHeight="1">
      <c r="A34" s="389"/>
      <c r="B34" s="371"/>
      <c r="C34" s="370">
        <v>2360</v>
      </c>
      <c r="D34" s="78" t="s">
        <v>109</v>
      </c>
      <c r="E34" s="325">
        <v>9589.88</v>
      </c>
      <c r="F34" s="81">
        <v>11410</v>
      </c>
      <c r="G34" s="81"/>
    </row>
    <row r="35" spans="1:7" ht="48.75" customHeight="1">
      <c r="A35" s="389"/>
      <c r="B35" s="371"/>
      <c r="C35" s="370">
        <v>6310</v>
      </c>
      <c r="D35" s="78" t="s">
        <v>139</v>
      </c>
      <c r="E35" s="325">
        <v>7000</v>
      </c>
      <c r="F35" s="81"/>
      <c r="G35" s="81"/>
    </row>
    <row r="36" spans="1:7" ht="16.5" customHeight="1">
      <c r="A36" s="368"/>
      <c r="B36" s="371">
        <v>75023</v>
      </c>
      <c r="C36" s="372"/>
      <c r="D36" s="76" t="s">
        <v>29</v>
      </c>
      <c r="E36" s="280">
        <f>SUM(E38:E40)</f>
        <v>175622.49</v>
      </c>
      <c r="F36" s="178">
        <f>SUM(F37:F40)</f>
        <v>372283</v>
      </c>
      <c r="G36" s="178"/>
    </row>
    <row r="37" spans="1:7" ht="22.5" customHeight="1">
      <c r="A37" s="368"/>
      <c r="B37" s="371"/>
      <c r="C37" s="370">
        <v>580</v>
      </c>
      <c r="D37" s="78" t="s">
        <v>196</v>
      </c>
      <c r="E37" s="39"/>
      <c r="F37" s="81">
        <f>16464+213319</f>
        <v>229783</v>
      </c>
      <c r="G37" s="178"/>
    </row>
    <row r="38" spans="1:7" ht="16.5" customHeight="1">
      <c r="A38" s="368"/>
      <c r="B38" s="369"/>
      <c r="C38" s="370">
        <v>830</v>
      </c>
      <c r="D38" s="78" t="s">
        <v>57</v>
      </c>
      <c r="E38" s="325">
        <f>164638.87-3615-3000</f>
        <v>158023.87</v>
      </c>
      <c r="F38" s="81">
        <f>130000+2500</f>
        <v>132500</v>
      </c>
      <c r="G38" s="178"/>
    </row>
    <row r="39" spans="1:7" ht="22.5" customHeight="1">
      <c r="A39" s="386"/>
      <c r="B39" s="387"/>
      <c r="C39" s="370">
        <v>960</v>
      </c>
      <c r="D39" s="78" t="s">
        <v>136</v>
      </c>
      <c r="E39" s="325">
        <v>6615</v>
      </c>
      <c r="F39" s="258"/>
      <c r="G39" s="341"/>
    </row>
    <row r="40" spans="1:7" ht="16.5" customHeight="1">
      <c r="A40" s="386"/>
      <c r="B40" s="387"/>
      <c r="C40" s="375">
        <v>970</v>
      </c>
      <c r="D40" s="192" t="s">
        <v>58</v>
      </c>
      <c r="E40" s="325">
        <v>10983.62</v>
      </c>
      <c r="F40" s="258">
        <f>10000</f>
        <v>10000</v>
      </c>
      <c r="G40" s="341"/>
    </row>
    <row r="41" spans="1:7" ht="16.5" customHeight="1">
      <c r="A41" s="368"/>
      <c r="B41" s="371">
        <v>75095</v>
      </c>
      <c r="C41" s="372"/>
      <c r="D41" s="76" t="s">
        <v>3</v>
      </c>
      <c r="E41" s="329">
        <f>SUM(E42:E42)</f>
        <v>505.95</v>
      </c>
      <c r="F41" s="178">
        <f>SUM(F42:F42)</f>
        <v>0</v>
      </c>
      <c r="G41" s="178"/>
    </row>
    <row r="42" spans="1:7" ht="26.25" customHeight="1" thickBot="1">
      <c r="A42" s="368"/>
      <c r="B42" s="369"/>
      <c r="C42" s="370">
        <v>580</v>
      </c>
      <c r="D42" s="78" t="s">
        <v>196</v>
      </c>
      <c r="E42" s="334">
        <v>505.95</v>
      </c>
      <c r="F42" s="81"/>
      <c r="G42" s="178"/>
    </row>
    <row r="43" spans="1:7" ht="37.5" customHeight="1" thickBot="1">
      <c r="A43" s="381">
        <v>751</v>
      </c>
      <c r="B43" s="377"/>
      <c r="C43" s="378"/>
      <c r="D43" s="187" t="s">
        <v>30</v>
      </c>
      <c r="E43" s="331">
        <f>+E44+E46</f>
        <v>73518.62</v>
      </c>
      <c r="F43" s="330">
        <f>+F44+F46</f>
        <v>5690</v>
      </c>
      <c r="G43" s="330">
        <f>+G44+G46</f>
        <v>5690</v>
      </c>
    </row>
    <row r="44" spans="1:7" ht="24" customHeight="1">
      <c r="A44" s="366"/>
      <c r="B44" s="367">
        <v>75101</v>
      </c>
      <c r="C44" s="345"/>
      <c r="D44" s="188" t="s">
        <v>95</v>
      </c>
      <c r="E44" s="283">
        <f>SUM(E45)</f>
        <v>5687</v>
      </c>
      <c r="F44" s="253">
        <f>SUM(F45)</f>
        <v>5690</v>
      </c>
      <c r="G44" s="253">
        <f>SUM(G45)</f>
        <v>5690</v>
      </c>
    </row>
    <row r="45" spans="1:7" ht="45" customHeight="1">
      <c r="A45" s="368"/>
      <c r="B45" s="369"/>
      <c r="C45" s="370">
        <v>2010</v>
      </c>
      <c r="D45" s="78" t="s">
        <v>138</v>
      </c>
      <c r="E45" s="281">
        <v>5687</v>
      </c>
      <c r="F45" s="81">
        <v>5690</v>
      </c>
      <c r="G45" s="81">
        <v>5690</v>
      </c>
    </row>
    <row r="46" spans="1:7" ht="48.75" customHeight="1">
      <c r="A46" s="368"/>
      <c r="B46" s="371">
        <v>75109</v>
      </c>
      <c r="C46" s="372"/>
      <c r="D46" s="82" t="s">
        <v>180</v>
      </c>
      <c r="E46" s="329">
        <f>SUM(E47)</f>
        <v>67831.62</v>
      </c>
      <c r="F46" s="178">
        <f>SUM(F47)</f>
        <v>0</v>
      </c>
      <c r="G46" s="178"/>
    </row>
    <row r="47" spans="1:7" ht="47.25" customHeight="1" thickBot="1">
      <c r="A47" s="368"/>
      <c r="B47" s="369"/>
      <c r="C47" s="370">
        <v>2010</v>
      </c>
      <c r="D47" s="78" t="s">
        <v>138</v>
      </c>
      <c r="E47" s="335">
        <v>67831.62</v>
      </c>
      <c r="F47" s="81"/>
      <c r="G47" s="81"/>
    </row>
    <row r="48" spans="1:7" ht="29.25" customHeight="1" thickBot="1">
      <c r="A48" s="381">
        <v>754</v>
      </c>
      <c r="B48" s="377"/>
      <c r="C48" s="378"/>
      <c r="D48" s="187" t="s">
        <v>31</v>
      </c>
      <c r="E48" s="331">
        <f>E49+E51</f>
        <v>8695</v>
      </c>
      <c r="F48" s="330">
        <f>F49+F51</f>
        <v>17000</v>
      </c>
      <c r="G48" s="352">
        <f>G49+G51</f>
        <v>2000</v>
      </c>
    </row>
    <row r="49" spans="1:7" ht="16.5" customHeight="1">
      <c r="A49" s="366"/>
      <c r="B49" s="367">
        <v>75414</v>
      </c>
      <c r="C49" s="345"/>
      <c r="D49" s="184" t="s">
        <v>11</v>
      </c>
      <c r="E49" s="283">
        <f>SUM(E50:E50)</f>
        <v>1000</v>
      </c>
      <c r="F49" s="253">
        <f>SUM(F50:F50)</f>
        <v>2000</v>
      </c>
      <c r="G49" s="253">
        <f>SUM(G50:G50)</f>
        <v>2000</v>
      </c>
    </row>
    <row r="50" spans="1:8" ht="45.75" customHeight="1">
      <c r="A50" s="368"/>
      <c r="B50" s="369"/>
      <c r="C50" s="370">
        <v>2010</v>
      </c>
      <c r="D50" s="78" t="s">
        <v>138</v>
      </c>
      <c r="E50" s="325">
        <v>1000</v>
      </c>
      <c r="F50" s="81">
        <v>2000</v>
      </c>
      <c r="G50" s="81">
        <v>2000</v>
      </c>
      <c r="H50" t="s">
        <v>10</v>
      </c>
    </row>
    <row r="51" spans="1:8" ht="16.5" customHeight="1">
      <c r="A51" s="368"/>
      <c r="B51" s="371">
        <v>75416</v>
      </c>
      <c r="C51" s="372"/>
      <c r="D51" s="82" t="s">
        <v>77</v>
      </c>
      <c r="E51" s="280">
        <f>SUM(E52)</f>
        <v>7695</v>
      </c>
      <c r="F51" s="178">
        <f>SUM(F52)</f>
        <v>15000</v>
      </c>
      <c r="G51" s="81"/>
      <c r="H51" t="s">
        <v>10</v>
      </c>
    </row>
    <row r="52" spans="1:7" ht="16.5" customHeight="1" thickBot="1">
      <c r="A52" s="386"/>
      <c r="B52" s="387"/>
      <c r="C52" s="388">
        <v>570</v>
      </c>
      <c r="D52" s="191" t="s">
        <v>110</v>
      </c>
      <c r="E52" s="281">
        <v>7695</v>
      </c>
      <c r="F52" s="258">
        <v>15000</v>
      </c>
      <c r="G52" s="258"/>
    </row>
    <row r="53" spans="1:7" ht="48" customHeight="1" thickBot="1">
      <c r="A53" s="381">
        <v>756</v>
      </c>
      <c r="B53" s="377"/>
      <c r="C53" s="378"/>
      <c r="D53" s="187" t="s">
        <v>125</v>
      </c>
      <c r="E53" s="331">
        <f>E54+E57+E64+E75+E82+E85</f>
        <v>24036066.57</v>
      </c>
      <c r="F53" s="330">
        <f>F54+F57+F64+F75+F82+F85</f>
        <v>28086454</v>
      </c>
      <c r="G53" s="354"/>
    </row>
    <row r="54" spans="1:7" ht="23.25" customHeight="1">
      <c r="A54" s="366"/>
      <c r="B54" s="367">
        <v>75601</v>
      </c>
      <c r="C54" s="345"/>
      <c r="D54" s="188" t="s">
        <v>140</v>
      </c>
      <c r="E54" s="283">
        <f>SUM(E55:E56)</f>
        <v>64574.229999999996</v>
      </c>
      <c r="F54" s="253">
        <f>SUM(F55)</f>
        <v>80000</v>
      </c>
      <c r="G54" s="211"/>
    </row>
    <row r="55" spans="1:7" ht="26.25" customHeight="1">
      <c r="A55" s="366"/>
      <c r="B55" s="367"/>
      <c r="C55" s="370">
        <v>350</v>
      </c>
      <c r="D55" s="78" t="s">
        <v>141</v>
      </c>
      <c r="E55" s="325">
        <v>64159.77</v>
      </c>
      <c r="F55" s="81">
        <v>80000</v>
      </c>
      <c r="G55" s="81"/>
    </row>
    <row r="56" spans="1:7" ht="22.5" customHeight="1">
      <c r="A56" s="366"/>
      <c r="B56" s="367"/>
      <c r="C56" s="370">
        <v>910</v>
      </c>
      <c r="D56" s="78" t="s">
        <v>137</v>
      </c>
      <c r="E56" s="325">
        <v>414.46</v>
      </c>
      <c r="F56" s="81"/>
      <c r="G56" s="81"/>
    </row>
    <row r="57" spans="1:9" ht="46.5" customHeight="1">
      <c r="A57" s="368"/>
      <c r="B57" s="371">
        <v>75615</v>
      </c>
      <c r="C57" s="372"/>
      <c r="D57" s="82" t="s">
        <v>102</v>
      </c>
      <c r="E57" s="280">
        <f>SUM(E58:E63)</f>
        <v>7817794.749999999</v>
      </c>
      <c r="F57" s="178">
        <f>SUM(F58:F63)</f>
        <v>8069700</v>
      </c>
      <c r="G57" s="81"/>
      <c r="I57" t="s">
        <v>10</v>
      </c>
    </row>
    <row r="58" spans="1:7" ht="16.5" customHeight="1">
      <c r="A58" s="368"/>
      <c r="B58" s="369"/>
      <c r="C58" s="370">
        <v>310</v>
      </c>
      <c r="D58" s="78" t="s">
        <v>111</v>
      </c>
      <c r="E58" s="325">
        <v>7617436.14</v>
      </c>
      <c r="F58" s="81">
        <v>7800000</v>
      </c>
      <c r="G58" s="81"/>
    </row>
    <row r="59" spans="1:7" ht="16.5" customHeight="1">
      <c r="A59" s="368"/>
      <c r="B59" s="369"/>
      <c r="C59" s="370">
        <v>320</v>
      </c>
      <c r="D59" s="78" t="s">
        <v>112</v>
      </c>
      <c r="E59" s="325">
        <v>5166.72</v>
      </c>
      <c r="F59" s="81">
        <v>5200</v>
      </c>
      <c r="G59" s="81"/>
    </row>
    <row r="60" spans="1:7" ht="16.5" customHeight="1">
      <c r="A60" s="368"/>
      <c r="B60" s="369"/>
      <c r="C60" s="370">
        <v>330</v>
      </c>
      <c r="D60" s="78" t="s">
        <v>113</v>
      </c>
      <c r="E60" s="325">
        <v>39497.8</v>
      </c>
      <c r="F60" s="244">
        <v>42500</v>
      </c>
      <c r="G60" s="81"/>
    </row>
    <row r="61" spans="1:7" ht="16.5" customHeight="1">
      <c r="A61" s="368"/>
      <c r="B61" s="369"/>
      <c r="C61" s="370">
        <v>340</v>
      </c>
      <c r="D61" s="78" t="s">
        <v>114</v>
      </c>
      <c r="E61" s="325">
        <v>146131</v>
      </c>
      <c r="F61" s="81">
        <v>170000</v>
      </c>
      <c r="G61" s="81"/>
    </row>
    <row r="62" spans="1:7" ht="16.5" customHeight="1">
      <c r="A62" s="368"/>
      <c r="B62" s="369"/>
      <c r="C62" s="370">
        <v>500</v>
      </c>
      <c r="D62" s="78" t="s">
        <v>81</v>
      </c>
      <c r="E62" s="325">
        <v>8076.2</v>
      </c>
      <c r="F62" s="81">
        <v>50000</v>
      </c>
      <c r="G62" s="81"/>
    </row>
    <row r="63" spans="1:9" ht="24" customHeight="1">
      <c r="A63" s="368"/>
      <c r="B63" s="369"/>
      <c r="C63" s="370">
        <v>910</v>
      </c>
      <c r="D63" s="78" t="s">
        <v>137</v>
      </c>
      <c r="E63" s="325">
        <v>1486.89</v>
      </c>
      <c r="F63" s="81">
        <v>2000</v>
      </c>
      <c r="G63" s="81"/>
      <c r="I63" t="s">
        <v>10</v>
      </c>
    </row>
    <row r="64" spans="1:7" ht="45.75" customHeight="1">
      <c r="A64" s="368"/>
      <c r="B64" s="371">
        <v>75616</v>
      </c>
      <c r="C64" s="370"/>
      <c r="D64" s="82" t="s">
        <v>103</v>
      </c>
      <c r="E64" s="280">
        <f>SUM(E65:E74)</f>
        <v>3495171.66</v>
      </c>
      <c r="F64" s="178">
        <f>SUM(F65:F74)</f>
        <v>3620463</v>
      </c>
      <c r="G64" s="178"/>
    </row>
    <row r="65" spans="1:7" ht="16.5" customHeight="1">
      <c r="A65" s="368"/>
      <c r="B65" s="371"/>
      <c r="C65" s="370">
        <v>310</v>
      </c>
      <c r="D65" s="78" t="s">
        <v>111</v>
      </c>
      <c r="E65" s="325">
        <v>1862683.32</v>
      </c>
      <c r="F65" s="81">
        <v>1900000</v>
      </c>
      <c r="G65" s="81"/>
    </row>
    <row r="66" spans="1:7" ht="16.5" customHeight="1">
      <c r="A66" s="368"/>
      <c r="B66" s="371"/>
      <c r="C66" s="370">
        <v>320</v>
      </c>
      <c r="D66" s="78" t="s">
        <v>112</v>
      </c>
      <c r="E66" s="325">
        <v>437150.29</v>
      </c>
      <c r="F66" s="81">
        <v>435000</v>
      </c>
      <c r="G66" s="81"/>
    </row>
    <row r="67" spans="1:7" ht="16.5" customHeight="1">
      <c r="A67" s="368"/>
      <c r="B67" s="371"/>
      <c r="C67" s="370">
        <v>330</v>
      </c>
      <c r="D67" s="78" t="s">
        <v>113</v>
      </c>
      <c r="E67" s="325">
        <v>41539.25</v>
      </c>
      <c r="F67" s="81">
        <v>45000</v>
      </c>
      <c r="G67" s="81"/>
    </row>
    <row r="68" spans="1:7" ht="16.5" customHeight="1">
      <c r="A68" s="368"/>
      <c r="B68" s="371"/>
      <c r="C68" s="370">
        <v>340</v>
      </c>
      <c r="D68" s="78" t="s">
        <v>114</v>
      </c>
      <c r="E68" s="325">
        <v>439190.16</v>
      </c>
      <c r="F68" s="81">
        <v>450000</v>
      </c>
      <c r="G68" s="81"/>
    </row>
    <row r="69" spans="1:7" ht="16.5" customHeight="1">
      <c r="A69" s="368"/>
      <c r="B69" s="371"/>
      <c r="C69" s="370">
        <v>360</v>
      </c>
      <c r="D69" s="78" t="s">
        <v>115</v>
      </c>
      <c r="E69" s="325">
        <v>64642.1</v>
      </c>
      <c r="F69" s="81">
        <v>80000</v>
      </c>
      <c r="G69" s="81"/>
    </row>
    <row r="70" spans="1:7" ht="16.5" customHeight="1">
      <c r="A70" s="368"/>
      <c r="B70" s="371"/>
      <c r="C70" s="370">
        <v>370</v>
      </c>
      <c r="D70" s="78" t="s">
        <v>253</v>
      </c>
      <c r="E70" s="325">
        <v>90</v>
      </c>
      <c r="F70" s="81"/>
      <c r="G70" s="81"/>
    </row>
    <row r="71" spans="1:7" ht="16.5" customHeight="1">
      <c r="A71" s="368"/>
      <c r="B71" s="371"/>
      <c r="C71" s="370">
        <v>430</v>
      </c>
      <c r="D71" s="78" t="s">
        <v>116</v>
      </c>
      <c r="E71" s="325">
        <v>217417</v>
      </c>
      <c r="F71" s="81">
        <v>250000</v>
      </c>
      <c r="G71" s="81"/>
    </row>
    <row r="72" spans="1:7" ht="23.25" customHeight="1">
      <c r="A72" s="368"/>
      <c r="B72" s="371"/>
      <c r="C72" s="370">
        <v>450</v>
      </c>
      <c r="D72" s="78" t="s">
        <v>76</v>
      </c>
      <c r="E72" s="325">
        <v>1435</v>
      </c>
      <c r="F72" s="81">
        <v>1000</v>
      </c>
      <c r="G72" s="81"/>
    </row>
    <row r="73" spans="1:9" ht="16.5" customHeight="1">
      <c r="A73" s="368"/>
      <c r="B73" s="371"/>
      <c r="C73" s="370">
        <v>500</v>
      </c>
      <c r="D73" s="78" t="s">
        <v>81</v>
      </c>
      <c r="E73" s="325">
        <v>421662.91</v>
      </c>
      <c r="F73" s="81">
        <v>450000</v>
      </c>
      <c r="G73" s="81"/>
      <c r="I73" t="s">
        <v>10</v>
      </c>
    </row>
    <row r="74" spans="1:7" ht="24" customHeight="1">
      <c r="A74" s="368"/>
      <c r="B74" s="371"/>
      <c r="C74" s="370">
        <v>910</v>
      </c>
      <c r="D74" s="78" t="s">
        <v>137</v>
      </c>
      <c r="E74" s="325">
        <v>9361.63</v>
      </c>
      <c r="F74" s="81">
        <f>5000+4463</f>
        <v>9463</v>
      </c>
      <c r="G74" s="81"/>
    </row>
    <row r="75" spans="1:8" ht="35.25" customHeight="1">
      <c r="A75" s="368"/>
      <c r="B75" s="371">
        <v>75618</v>
      </c>
      <c r="C75" s="372"/>
      <c r="D75" s="82" t="s">
        <v>142</v>
      </c>
      <c r="E75" s="280">
        <f>SUM(E76:E81)</f>
        <v>789615.0199999999</v>
      </c>
      <c r="F75" s="178">
        <f>SUM(F76:F81)</f>
        <v>810090</v>
      </c>
      <c r="G75" s="178"/>
      <c r="H75" s="7"/>
    </row>
    <row r="76" spans="1:8" ht="14.25" customHeight="1">
      <c r="A76" s="368"/>
      <c r="B76" s="369"/>
      <c r="C76" s="370">
        <v>410</v>
      </c>
      <c r="D76" s="77" t="s">
        <v>96</v>
      </c>
      <c r="E76" s="325">
        <v>723321.46</v>
      </c>
      <c r="F76" s="81">
        <v>750000</v>
      </c>
      <c r="G76" s="178"/>
      <c r="H76" s="1"/>
    </row>
    <row r="77" spans="1:8" ht="15.75" customHeight="1">
      <c r="A77" s="368"/>
      <c r="B77" s="369"/>
      <c r="C77" s="370">
        <v>460</v>
      </c>
      <c r="D77" s="77" t="s">
        <v>99</v>
      </c>
      <c r="E77" s="325">
        <v>4092.46</v>
      </c>
      <c r="F77" s="81">
        <v>4100</v>
      </c>
      <c r="G77" s="178"/>
      <c r="H77" s="1"/>
    </row>
    <row r="78" spans="1:8" ht="33.75" customHeight="1">
      <c r="A78" s="368"/>
      <c r="B78" s="369"/>
      <c r="C78" s="370">
        <v>490</v>
      </c>
      <c r="D78" s="78" t="s">
        <v>182</v>
      </c>
      <c r="E78" s="325">
        <v>11070.9</v>
      </c>
      <c r="F78" s="81">
        <v>5000</v>
      </c>
      <c r="G78" s="178"/>
      <c r="H78" s="1"/>
    </row>
    <row r="79" spans="1:8" ht="24.75" customHeight="1">
      <c r="A79" s="368"/>
      <c r="B79" s="369"/>
      <c r="C79" s="370">
        <v>910</v>
      </c>
      <c r="D79" s="78" t="s">
        <v>137</v>
      </c>
      <c r="E79" s="325">
        <v>137.6</v>
      </c>
      <c r="F79" s="81"/>
      <c r="G79" s="178"/>
      <c r="H79" s="1"/>
    </row>
    <row r="80" spans="1:8" ht="15.75" customHeight="1">
      <c r="A80" s="368"/>
      <c r="B80" s="369"/>
      <c r="C80" s="375">
        <v>970</v>
      </c>
      <c r="D80" s="192" t="s">
        <v>58</v>
      </c>
      <c r="E80" s="325">
        <v>17.6</v>
      </c>
      <c r="F80" s="81"/>
      <c r="G80" s="178"/>
      <c r="H80" s="1"/>
    </row>
    <row r="81" spans="1:8" ht="23.25" customHeight="1">
      <c r="A81" s="368"/>
      <c r="B81" s="369"/>
      <c r="C81" s="370">
        <v>2680</v>
      </c>
      <c r="D81" s="78" t="s">
        <v>181</v>
      </c>
      <c r="E81" s="325">
        <v>50975</v>
      </c>
      <c r="F81" s="81">
        <v>50990</v>
      </c>
      <c r="G81" s="178"/>
      <c r="H81" s="1"/>
    </row>
    <row r="82" spans="1:7" ht="16.5" customHeight="1">
      <c r="A82" s="368"/>
      <c r="B82" s="371">
        <v>75619</v>
      </c>
      <c r="C82" s="372"/>
      <c r="D82" s="82" t="s">
        <v>60</v>
      </c>
      <c r="E82" s="280">
        <f>SUM(E83:E84)</f>
        <v>12495.240000000002</v>
      </c>
      <c r="F82" s="178">
        <f>SUM(F83:F84)</f>
        <v>15000</v>
      </c>
      <c r="G82" s="81"/>
    </row>
    <row r="83" spans="1:7" ht="16.5" customHeight="1">
      <c r="A83" s="386"/>
      <c r="B83" s="387"/>
      <c r="C83" s="388">
        <v>690</v>
      </c>
      <c r="D83" s="191" t="s">
        <v>59</v>
      </c>
      <c r="E83" s="325">
        <v>9241.29</v>
      </c>
      <c r="F83" s="258">
        <v>10000</v>
      </c>
      <c r="G83" s="258"/>
    </row>
    <row r="84" spans="1:7" ht="16.5" customHeight="1">
      <c r="A84" s="386"/>
      <c r="B84" s="387"/>
      <c r="C84" s="388">
        <v>970</v>
      </c>
      <c r="D84" s="191" t="s">
        <v>58</v>
      </c>
      <c r="E84" s="325">
        <v>3253.95</v>
      </c>
      <c r="F84" s="258">
        <v>5000</v>
      </c>
      <c r="G84" s="258"/>
    </row>
    <row r="85" spans="1:7" s="1" customFormat="1" ht="22.5">
      <c r="A85" s="368"/>
      <c r="B85" s="371">
        <v>75621</v>
      </c>
      <c r="C85" s="372"/>
      <c r="D85" s="82" t="s">
        <v>78</v>
      </c>
      <c r="E85" s="280">
        <f>SUM(E86+E87)</f>
        <v>11856415.67</v>
      </c>
      <c r="F85" s="178">
        <f>SUM(F86+F87)</f>
        <v>15491201</v>
      </c>
      <c r="G85" s="178"/>
    </row>
    <row r="86" spans="1:7" s="1" customFormat="1" ht="16.5" customHeight="1">
      <c r="A86" s="368"/>
      <c r="B86" s="369"/>
      <c r="C86" s="370">
        <v>10</v>
      </c>
      <c r="D86" s="78" t="s">
        <v>61</v>
      </c>
      <c r="E86" s="325">
        <v>11241337</v>
      </c>
      <c r="F86" s="81">
        <v>14591201</v>
      </c>
      <c r="G86" s="81"/>
    </row>
    <row r="87" spans="1:7" ht="16.5" customHeight="1" thickBot="1">
      <c r="A87" s="390"/>
      <c r="B87" s="374"/>
      <c r="C87" s="375">
        <v>20</v>
      </c>
      <c r="D87" s="193" t="s">
        <v>82</v>
      </c>
      <c r="E87" s="335">
        <v>615078.67</v>
      </c>
      <c r="F87" s="212">
        <v>900000</v>
      </c>
      <c r="G87" s="356"/>
    </row>
    <row r="88" spans="1:7" ht="16.5" customHeight="1" thickBot="1">
      <c r="A88" s="381">
        <v>758</v>
      </c>
      <c r="B88" s="377"/>
      <c r="C88" s="378"/>
      <c r="D88" s="185" t="s">
        <v>12</v>
      </c>
      <c r="E88" s="331">
        <f>+E89+E91+E93+E95</f>
        <v>18324705.97</v>
      </c>
      <c r="F88" s="330">
        <f>+F89+F91+F93+F95</f>
        <v>19356441</v>
      </c>
      <c r="G88" s="354"/>
    </row>
    <row r="89" spans="1:7" ht="22.5">
      <c r="A89" s="366"/>
      <c r="B89" s="367">
        <v>75801</v>
      </c>
      <c r="C89" s="345"/>
      <c r="D89" s="188" t="s">
        <v>63</v>
      </c>
      <c r="E89" s="283">
        <f>+E90</f>
        <v>17974448</v>
      </c>
      <c r="F89" s="253">
        <f>+F90</f>
        <v>19007947</v>
      </c>
      <c r="G89" s="253"/>
    </row>
    <row r="90" spans="1:8" ht="16.5" customHeight="1">
      <c r="A90" s="368"/>
      <c r="B90" s="369"/>
      <c r="C90" s="370">
        <v>2920</v>
      </c>
      <c r="D90" s="78" t="s">
        <v>62</v>
      </c>
      <c r="E90" s="325">
        <v>17974448</v>
      </c>
      <c r="F90" s="81">
        <v>19007947</v>
      </c>
      <c r="G90" s="178"/>
      <c r="H90" t="s">
        <v>10</v>
      </c>
    </row>
    <row r="91" spans="1:8" ht="23.25" customHeight="1">
      <c r="A91" s="391"/>
      <c r="B91" s="371">
        <v>75809</v>
      </c>
      <c r="C91" s="372"/>
      <c r="D91" s="82" t="s">
        <v>143</v>
      </c>
      <c r="E91" s="280">
        <f>SUM(E92)</f>
        <v>20000</v>
      </c>
      <c r="F91" s="178">
        <f>SUM(F92)</f>
        <v>30000</v>
      </c>
      <c r="G91" s="81"/>
      <c r="H91" t="s">
        <v>10</v>
      </c>
    </row>
    <row r="92" spans="1:7" ht="33.75">
      <c r="A92" s="391"/>
      <c r="B92" s="369"/>
      <c r="C92" s="370">
        <v>2320</v>
      </c>
      <c r="D92" s="78" t="s">
        <v>117</v>
      </c>
      <c r="E92" s="325">
        <v>20000</v>
      </c>
      <c r="F92" s="81">
        <v>30000</v>
      </c>
      <c r="G92" s="81"/>
    </row>
    <row r="93" spans="1:7" ht="15" customHeight="1">
      <c r="A93" s="391"/>
      <c r="B93" s="371">
        <v>75814</v>
      </c>
      <c r="C93" s="372"/>
      <c r="D93" s="76" t="s">
        <v>32</v>
      </c>
      <c r="E93" s="329">
        <f>SUM(E94)</f>
        <v>204487.97</v>
      </c>
      <c r="F93" s="178">
        <f>SUM(F94)</f>
        <v>180000</v>
      </c>
      <c r="G93" s="178"/>
    </row>
    <row r="94" spans="1:7" ht="15.75" customHeight="1">
      <c r="A94" s="391"/>
      <c r="B94" s="387"/>
      <c r="C94" s="388">
        <v>920</v>
      </c>
      <c r="D94" s="170" t="s">
        <v>74</v>
      </c>
      <c r="E94" s="336">
        <v>204487.97</v>
      </c>
      <c r="F94" s="81">
        <v>180000</v>
      </c>
      <c r="G94" s="81"/>
    </row>
    <row r="95" spans="1:7" ht="16.5" customHeight="1">
      <c r="A95" s="391"/>
      <c r="B95" s="371">
        <v>75831</v>
      </c>
      <c r="C95" s="372"/>
      <c r="D95" s="82" t="s">
        <v>132</v>
      </c>
      <c r="E95" s="329">
        <f>SUM(E96)</f>
        <v>125770</v>
      </c>
      <c r="F95" s="178">
        <f>SUM(F96)</f>
        <v>138494</v>
      </c>
      <c r="G95" s="178"/>
    </row>
    <row r="96" spans="1:7" ht="16.5" customHeight="1" thickBot="1">
      <c r="A96" s="391"/>
      <c r="B96" s="369"/>
      <c r="C96" s="370">
        <v>2920</v>
      </c>
      <c r="D96" s="78" t="s">
        <v>62</v>
      </c>
      <c r="E96" s="322">
        <v>125770</v>
      </c>
      <c r="F96" s="81">
        <v>138494</v>
      </c>
      <c r="G96" s="81"/>
    </row>
    <row r="97" spans="1:7" ht="16.5" customHeight="1" thickBot="1">
      <c r="A97" s="381">
        <v>801</v>
      </c>
      <c r="B97" s="377"/>
      <c r="C97" s="378"/>
      <c r="D97" s="185" t="s">
        <v>5</v>
      </c>
      <c r="E97" s="331">
        <f>+E98+E108+E113+E119+E121</f>
        <v>1542367.4999999998</v>
      </c>
      <c r="F97" s="330">
        <f>+F98+F108+F113+F119+F121</f>
        <v>1720808</v>
      </c>
      <c r="G97" s="354"/>
    </row>
    <row r="98" spans="1:7" ht="16.5" customHeight="1">
      <c r="A98" s="366"/>
      <c r="B98" s="367">
        <v>80101</v>
      </c>
      <c r="C98" s="345"/>
      <c r="D98" s="184" t="s">
        <v>33</v>
      </c>
      <c r="E98" s="283">
        <f>SUM(E99:E106)</f>
        <v>669167.2699999999</v>
      </c>
      <c r="F98" s="253">
        <f>SUM(F99:F107)</f>
        <v>916001</v>
      </c>
      <c r="G98" s="253"/>
    </row>
    <row r="99" spans="1:7" ht="17.25" customHeight="1">
      <c r="A99" s="366"/>
      <c r="B99" s="367"/>
      <c r="C99" s="370">
        <v>570</v>
      </c>
      <c r="D99" s="78" t="s">
        <v>183</v>
      </c>
      <c r="E99" s="412">
        <v>400</v>
      </c>
      <c r="F99" s="211"/>
      <c r="G99" s="211"/>
    </row>
    <row r="100" spans="1:7" ht="57" customHeight="1">
      <c r="A100" s="368"/>
      <c r="B100" s="369"/>
      <c r="C100" s="370">
        <v>750</v>
      </c>
      <c r="D100" s="78" t="s">
        <v>107</v>
      </c>
      <c r="E100" s="325">
        <v>62778.71</v>
      </c>
      <c r="F100" s="81">
        <f>20000+16000+12000+10000</f>
        <v>58000</v>
      </c>
      <c r="G100" s="81"/>
    </row>
    <row r="101" spans="1:7" ht="16.5" customHeight="1">
      <c r="A101" s="368"/>
      <c r="B101" s="369"/>
      <c r="C101" s="370">
        <v>830</v>
      </c>
      <c r="D101" s="78" t="s">
        <v>57</v>
      </c>
      <c r="E101" s="325">
        <v>529761.99</v>
      </c>
      <c r="F101" s="81">
        <f>120000+314801</f>
        <v>434801</v>
      </c>
      <c r="G101" s="81"/>
    </row>
    <row r="102" spans="1:7" ht="16.5" customHeight="1">
      <c r="A102" s="368"/>
      <c r="B102" s="369"/>
      <c r="C102" s="370">
        <v>870</v>
      </c>
      <c r="D102" s="78" t="s">
        <v>123</v>
      </c>
      <c r="E102" s="325">
        <v>1050</v>
      </c>
      <c r="F102" s="81"/>
      <c r="G102" s="81"/>
    </row>
    <row r="103" spans="1:7" ht="16.5" customHeight="1">
      <c r="A103" s="368"/>
      <c r="B103" s="369"/>
      <c r="C103" s="370">
        <v>920</v>
      </c>
      <c r="D103" s="77" t="s">
        <v>74</v>
      </c>
      <c r="E103" s="325">
        <v>31752.6</v>
      </c>
      <c r="F103" s="81">
        <f>10000+1800+14400</f>
        <v>26200</v>
      </c>
      <c r="G103" s="81"/>
    </row>
    <row r="104" spans="1:7" ht="26.25" customHeight="1">
      <c r="A104" s="368"/>
      <c r="B104" s="369"/>
      <c r="C104" s="370">
        <v>960</v>
      </c>
      <c r="D104" s="78" t="s">
        <v>105</v>
      </c>
      <c r="E104" s="325">
        <v>9619</v>
      </c>
      <c r="F104" s="81"/>
      <c r="G104" s="81"/>
    </row>
    <row r="105" spans="1:7" ht="16.5" customHeight="1">
      <c r="A105" s="368"/>
      <c r="B105" s="369"/>
      <c r="C105" s="370">
        <v>970</v>
      </c>
      <c r="D105" s="77" t="s">
        <v>58</v>
      </c>
      <c r="E105" s="325">
        <v>8508.02</v>
      </c>
      <c r="F105" s="81"/>
      <c r="G105" s="81"/>
    </row>
    <row r="106" spans="1:7" ht="33.75" customHeight="1">
      <c r="A106" s="368"/>
      <c r="B106" s="369"/>
      <c r="C106" s="370">
        <v>2030</v>
      </c>
      <c r="D106" s="78" t="s">
        <v>118</v>
      </c>
      <c r="E106" s="325">
        <v>25296.95</v>
      </c>
      <c r="F106" s="178"/>
      <c r="G106" s="178"/>
    </row>
    <row r="107" spans="1:7" ht="35.25" customHeight="1">
      <c r="A107" s="368"/>
      <c r="B107" s="369"/>
      <c r="C107" s="370">
        <v>6290</v>
      </c>
      <c r="D107" s="78" t="s">
        <v>179</v>
      </c>
      <c r="E107" s="29"/>
      <c r="F107" s="81">
        <v>397000</v>
      </c>
      <c r="G107" s="178"/>
    </row>
    <row r="108" spans="1:7" ht="16.5" customHeight="1">
      <c r="A108" s="368"/>
      <c r="B108" s="371">
        <v>80104</v>
      </c>
      <c r="C108" s="372"/>
      <c r="D108" s="76" t="s">
        <v>94</v>
      </c>
      <c r="E108" s="280">
        <f>SUM(E109:E112)</f>
        <v>507739.76</v>
      </c>
      <c r="F108" s="178">
        <f>SUM(F109:F112)</f>
        <v>539207</v>
      </c>
      <c r="G108" s="178"/>
    </row>
    <row r="109" spans="1:7" ht="57" customHeight="1">
      <c r="A109" s="368"/>
      <c r="B109" s="371"/>
      <c r="C109" s="370">
        <v>750</v>
      </c>
      <c r="D109" s="78" t="s">
        <v>107</v>
      </c>
      <c r="E109" s="325">
        <v>1245.25</v>
      </c>
      <c r="F109" s="178"/>
      <c r="G109" s="178"/>
    </row>
    <row r="110" spans="1:7" ht="16.5" customHeight="1">
      <c r="A110" s="368"/>
      <c r="B110" s="369"/>
      <c r="C110" s="370">
        <v>830</v>
      </c>
      <c r="D110" s="77" t="s">
        <v>57</v>
      </c>
      <c r="E110" s="325">
        <v>502032.55</v>
      </c>
      <c r="F110" s="81">
        <v>538197</v>
      </c>
      <c r="G110" s="178"/>
    </row>
    <row r="111" spans="1:7" ht="16.5" customHeight="1">
      <c r="A111" s="368"/>
      <c r="B111" s="369"/>
      <c r="C111" s="370">
        <v>920</v>
      </c>
      <c r="D111" s="77" t="s">
        <v>74</v>
      </c>
      <c r="E111" s="325">
        <v>2211.96</v>
      </c>
      <c r="F111" s="81">
        <v>1010</v>
      </c>
      <c r="G111" s="178"/>
    </row>
    <row r="112" spans="1:7" ht="24.75" customHeight="1">
      <c r="A112" s="368"/>
      <c r="B112" s="369"/>
      <c r="C112" s="370">
        <v>960</v>
      </c>
      <c r="D112" s="78" t="s">
        <v>136</v>
      </c>
      <c r="E112" s="325">
        <v>2250</v>
      </c>
      <c r="F112" s="81"/>
      <c r="G112" s="178"/>
    </row>
    <row r="113" spans="1:7" ht="16.5" customHeight="1">
      <c r="A113" s="368"/>
      <c r="B113" s="371">
        <v>80110</v>
      </c>
      <c r="C113" s="372"/>
      <c r="D113" s="76" t="s">
        <v>6</v>
      </c>
      <c r="E113" s="280">
        <f>SUM(E114:E118)</f>
        <v>300348.47</v>
      </c>
      <c r="F113" s="178">
        <f>SUM(F114:F118)</f>
        <v>264600</v>
      </c>
      <c r="G113" s="81"/>
    </row>
    <row r="114" spans="1:8" ht="58.5" customHeight="1">
      <c r="A114" s="368"/>
      <c r="B114" s="369"/>
      <c r="C114" s="370">
        <v>750</v>
      </c>
      <c r="D114" s="78" t="s">
        <v>107</v>
      </c>
      <c r="E114" s="325">
        <v>43058.59</v>
      </c>
      <c r="F114" s="81">
        <f>39000</f>
        <v>39000</v>
      </c>
      <c r="G114" s="178" t="s">
        <v>10</v>
      </c>
      <c r="H114" t="s">
        <v>10</v>
      </c>
    </row>
    <row r="115" spans="1:7" ht="16.5" customHeight="1">
      <c r="A115" s="368"/>
      <c r="B115" s="369"/>
      <c r="C115" s="370">
        <v>830</v>
      </c>
      <c r="D115" s="77" t="s">
        <v>57</v>
      </c>
      <c r="E115" s="325">
        <v>251239.24</v>
      </c>
      <c r="F115" s="81">
        <f>112000+109850</f>
        <v>221850</v>
      </c>
      <c r="G115" s="178"/>
    </row>
    <row r="116" spans="1:7" ht="16.5" customHeight="1">
      <c r="A116" s="368"/>
      <c r="B116" s="369"/>
      <c r="C116" s="370">
        <v>920</v>
      </c>
      <c r="D116" s="77" t="s">
        <v>74</v>
      </c>
      <c r="E116" s="325">
        <v>3168.89</v>
      </c>
      <c r="F116" s="81">
        <f>2200+1000</f>
        <v>3200</v>
      </c>
      <c r="G116" s="81"/>
    </row>
    <row r="117" spans="1:7" ht="22.5" customHeight="1">
      <c r="A117" s="368"/>
      <c r="B117" s="369"/>
      <c r="C117" s="370">
        <v>960</v>
      </c>
      <c r="D117" s="78" t="s">
        <v>136</v>
      </c>
      <c r="E117" s="325">
        <v>2280</v>
      </c>
      <c r="F117" s="81"/>
      <c r="G117" s="81"/>
    </row>
    <row r="118" spans="1:7" ht="16.5" customHeight="1">
      <c r="A118" s="368"/>
      <c r="B118" s="369"/>
      <c r="C118" s="370">
        <v>970</v>
      </c>
      <c r="D118" s="77" t="s">
        <v>58</v>
      </c>
      <c r="E118" s="281">
        <v>601.75</v>
      </c>
      <c r="F118" s="81">
        <f>550</f>
        <v>550</v>
      </c>
      <c r="G118" s="81"/>
    </row>
    <row r="119" spans="1:7" ht="23.25" customHeight="1">
      <c r="A119" s="368"/>
      <c r="B119" s="392">
        <v>80114</v>
      </c>
      <c r="C119" s="393"/>
      <c r="D119" s="194" t="s">
        <v>133</v>
      </c>
      <c r="E119" s="329">
        <f>SUM(E120)</f>
        <v>400</v>
      </c>
      <c r="F119" s="178">
        <f>SUM(F120)</f>
        <v>1000</v>
      </c>
      <c r="G119" s="178"/>
    </row>
    <row r="120" spans="1:7" ht="16.5" customHeight="1">
      <c r="A120" s="368"/>
      <c r="B120" s="369"/>
      <c r="C120" s="370">
        <v>920</v>
      </c>
      <c r="D120" s="77" t="s">
        <v>74</v>
      </c>
      <c r="E120" s="281">
        <v>400</v>
      </c>
      <c r="F120" s="81">
        <v>1000</v>
      </c>
      <c r="G120" s="178"/>
    </row>
    <row r="121" spans="1:7" ht="16.5" customHeight="1">
      <c r="A121" s="368"/>
      <c r="B121" s="371">
        <v>80195</v>
      </c>
      <c r="C121" s="372"/>
      <c r="D121" s="76" t="s">
        <v>3</v>
      </c>
      <c r="E121" s="280">
        <f>SUM(E122:E122)</f>
        <v>64712</v>
      </c>
      <c r="F121" s="178">
        <f>SUM(F122:F122)</f>
        <v>0</v>
      </c>
      <c r="G121" s="81"/>
    </row>
    <row r="122" spans="1:7" ht="36" customHeight="1" thickBot="1">
      <c r="A122" s="386"/>
      <c r="B122" s="387"/>
      <c r="C122" s="388">
        <v>2030</v>
      </c>
      <c r="D122" s="78" t="s">
        <v>118</v>
      </c>
      <c r="E122" s="281">
        <v>64712</v>
      </c>
      <c r="F122" s="341"/>
      <c r="G122" s="341"/>
    </row>
    <row r="123" spans="1:7" ht="16.5" customHeight="1" thickBot="1">
      <c r="A123" s="381">
        <v>851</v>
      </c>
      <c r="B123" s="377"/>
      <c r="C123" s="378"/>
      <c r="D123" s="185" t="s">
        <v>7</v>
      </c>
      <c r="E123" s="331">
        <f>SUM(E124)</f>
        <v>406053.33</v>
      </c>
      <c r="F123" s="330">
        <f>SUM(F124)</f>
        <v>410000</v>
      </c>
      <c r="G123" s="352"/>
    </row>
    <row r="124" spans="1:7" ht="16.5" customHeight="1">
      <c r="A124" s="366"/>
      <c r="B124" s="367">
        <v>85154</v>
      </c>
      <c r="C124" s="345"/>
      <c r="D124" s="184" t="s">
        <v>19</v>
      </c>
      <c r="E124" s="283">
        <f>SUM(E125:E125)</f>
        <v>406053.33</v>
      </c>
      <c r="F124" s="253">
        <f>SUM(F125)</f>
        <v>410000</v>
      </c>
      <c r="G124" s="211"/>
    </row>
    <row r="125" spans="1:7" ht="16.5" customHeight="1" thickBot="1">
      <c r="A125" s="368"/>
      <c r="B125" s="369"/>
      <c r="C125" s="370">
        <v>480</v>
      </c>
      <c r="D125" s="78" t="s">
        <v>119</v>
      </c>
      <c r="E125" s="322">
        <v>406053.33</v>
      </c>
      <c r="F125" s="81">
        <v>410000</v>
      </c>
      <c r="G125" s="178"/>
    </row>
    <row r="126" spans="1:7" ht="16.5" customHeight="1" thickBot="1">
      <c r="A126" s="381">
        <v>852</v>
      </c>
      <c r="B126" s="377"/>
      <c r="C126" s="378"/>
      <c r="D126" s="185" t="s">
        <v>93</v>
      </c>
      <c r="E126" s="331">
        <f>SUM(E127+E131+E137+E139+E143+E148+E150)</f>
        <v>12180088.320000002</v>
      </c>
      <c r="F126" s="330">
        <f>SUM(F127+F131+F137+F139+F143+F150)</f>
        <v>14074371</v>
      </c>
      <c r="G126" s="352">
        <f>SUM(G127+G131+G137+G139+G143+G150)</f>
        <v>12858374</v>
      </c>
    </row>
    <row r="127" spans="1:7" ht="15" customHeight="1">
      <c r="A127" s="394"/>
      <c r="B127" s="395">
        <v>85203</v>
      </c>
      <c r="C127" s="396"/>
      <c r="D127" s="195" t="s">
        <v>131</v>
      </c>
      <c r="E127" s="338">
        <f>SUM(E128:E130)</f>
        <v>249024.80000000002</v>
      </c>
      <c r="F127" s="147">
        <f>SUM(F128:F130)</f>
        <v>185000</v>
      </c>
      <c r="G127" s="147"/>
    </row>
    <row r="128" spans="1:7" ht="15" customHeight="1">
      <c r="A128" s="397"/>
      <c r="B128" s="398"/>
      <c r="C128" s="370">
        <v>830</v>
      </c>
      <c r="D128" s="77" t="s">
        <v>57</v>
      </c>
      <c r="E128" s="337">
        <v>234687.82</v>
      </c>
      <c r="F128" s="357">
        <v>185000</v>
      </c>
      <c r="G128" s="357"/>
    </row>
    <row r="129" spans="1:7" ht="15.75" customHeight="1">
      <c r="A129" s="397"/>
      <c r="B129" s="398"/>
      <c r="C129" s="370">
        <v>970</v>
      </c>
      <c r="D129" s="77" t="s">
        <v>58</v>
      </c>
      <c r="E129" s="337">
        <v>2094.98</v>
      </c>
      <c r="F129" s="357"/>
      <c r="G129" s="357"/>
    </row>
    <row r="130" spans="1:7" ht="36" customHeight="1">
      <c r="A130" s="394"/>
      <c r="B130" s="395"/>
      <c r="C130" s="370">
        <v>2030</v>
      </c>
      <c r="D130" s="78" t="s">
        <v>118</v>
      </c>
      <c r="E130" s="337">
        <v>12242</v>
      </c>
      <c r="F130" s="353"/>
      <c r="G130" s="353"/>
    </row>
    <row r="131" spans="1:10" ht="36" customHeight="1">
      <c r="A131" s="394"/>
      <c r="B131" s="395">
        <v>85212</v>
      </c>
      <c r="C131" s="396"/>
      <c r="D131" s="196" t="s">
        <v>184</v>
      </c>
      <c r="E131" s="338">
        <f>SUM(E132:E136)</f>
        <v>9406512.120000001</v>
      </c>
      <c r="F131" s="147">
        <f>SUM(F132:F136)</f>
        <v>11959300</v>
      </c>
      <c r="G131" s="147">
        <f>SUM(G135)</f>
        <v>11950000</v>
      </c>
      <c r="J131" t="s">
        <v>10</v>
      </c>
    </row>
    <row r="132" spans="1:7" ht="35.25" customHeight="1">
      <c r="A132" s="394"/>
      <c r="B132" s="395"/>
      <c r="C132" s="399">
        <v>900</v>
      </c>
      <c r="D132" s="78" t="s">
        <v>185</v>
      </c>
      <c r="E132" s="340">
        <v>446.12</v>
      </c>
      <c r="F132" s="353">
        <v>300</v>
      </c>
      <c r="G132" s="353"/>
    </row>
    <row r="133" spans="1:7" ht="15" customHeight="1">
      <c r="A133" s="394"/>
      <c r="B133" s="395"/>
      <c r="C133" s="370">
        <v>920</v>
      </c>
      <c r="D133" s="77" t="s">
        <v>74</v>
      </c>
      <c r="E133" s="340">
        <v>158.18</v>
      </c>
      <c r="F133" s="353"/>
      <c r="G133" s="353"/>
    </row>
    <row r="134" spans="1:7" ht="15" customHeight="1">
      <c r="A134" s="394"/>
      <c r="B134" s="395"/>
      <c r="C134" s="370">
        <v>970</v>
      </c>
      <c r="D134" s="78" t="s">
        <v>58</v>
      </c>
      <c r="E134" s="340">
        <v>2993.84</v>
      </c>
      <c r="F134" s="353">
        <v>3000</v>
      </c>
      <c r="G134" s="353"/>
    </row>
    <row r="135" spans="1:7" ht="45.75" customHeight="1">
      <c r="A135" s="397"/>
      <c r="B135" s="395"/>
      <c r="C135" s="399">
        <v>2010</v>
      </c>
      <c r="D135" s="78" t="s">
        <v>138</v>
      </c>
      <c r="E135" s="327">
        <v>9397535.68</v>
      </c>
      <c r="F135" s="357">
        <v>11950000</v>
      </c>
      <c r="G135" s="357">
        <v>11950000</v>
      </c>
    </row>
    <row r="136" spans="1:7" ht="34.5" customHeight="1">
      <c r="A136" s="394"/>
      <c r="B136" s="395"/>
      <c r="C136" s="399">
        <v>2910</v>
      </c>
      <c r="D136" s="78" t="s">
        <v>186</v>
      </c>
      <c r="E136" s="339">
        <v>5378.3</v>
      </c>
      <c r="F136" s="353">
        <v>6000</v>
      </c>
      <c r="G136" s="353"/>
    </row>
    <row r="137" spans="1:7" ht="47.25" customHeight="1">
      <c r="A137" s="366"/>
      <c r="B137" s="367">
        <v>85213</v>
      </c>
      <c r="C137" s="400"/>
      <c r="D137" s="188" t="s">
        <v>193</v>
      </c>
      <c r="E137" s="283">
        <f>SUM(E138)</f>
        <v>65009.66</v>
      </c>
      <c r="F137" s="253">
        <f>SUM(F138)</f>
        <v>84374</v>
      </c>
      <c r="G137" s="253">
        <f>SUM(G138)</f>
        <v>84374</v>
      </c>
    </row>
    <row r="138" spans="1:7" ht="47.25" customHeight="1">
      <c r="A138" s="368"/>
      <c r="B138" s="369"/>
      <c r="C138" s="370">
        <v>2010</v>
      </c>
      <c r="D138" s="78" t="s">
        <v>138</v>
      </c>
      <c r="E138" s="325">
        <v>65009.66</v>
      </c>
      <c r="F138" s="81">
        <v>84374</v>
      </c>
      <c r="G138" s="81">
        <v>84374</v>
      </c>
    </row>
    <row r="139" spans="1:7" ht="25.5" customHeight="1">
      <c r="A139" s="368"/>
      <c r="B139" s="371">
        <v>85214</v>
      </c>
      <c r="C139" s="370"/>
      <c r="D139" s="82" t="s">
        <v>134</v>
      </c>
      <c r="E139" s="280">
        <f>SUM(E140:E142)</f>
        <v>873782.35</v>
      </c>
      <c r="F139" s="178">
        <f>SUM(F140:F142)</f>
        <v>976860</v>
      </c>
      <c r="G139" s="178">
        <f>SUM(G140)</f>
        <v>824000</v>
      </c>
    </row>
    <row r="140" spans="1:7" ht="44.25" customHeight="1">
      <c r="A140" s="368"/>
      <c r="B140" s="369"/>
      <c r="C140" s="370">
        <v>2010</v>
      </c>
      <c r="D140" s="78" t="s">
        <v>138</v>
      </c>
      <c r="E140" s="325">
        <v>685376.66</v>
      </c>
      <c r="F140" s="81">
        <v>824000</v>
      </c>
      <c r="G140" s="81">
        <v>824000</v>
      </c>
    </row>
    <row r="141" spans="1:7" ht="34.5" customHeight="1">
      <c r="A141" s="368"/>
      <c r="B141" s="369"/>
      <c r="C141" s="370">
        <v>2030</v>
      </c>
      <c r="D141" s="78" t="s">
        <v>118</v>
      </c>
      <c r="E141" s="325">
        <v>188068</v>
      </c>
      <c r="F141" s="81">
        <v>151860</v>
      </c>
      <c r="G141" s="81"/>
    </row>
    <row r="142" spans="1:7" ht="33.75" customHeight="1">
      <c r="A142" s="368"/>
      <c r="B142" s="369"/>
      <c r="C142" s="399">
        <v>2910</v>
      </c>
      <c r="D142" s="78" t="s">
        <v>186</v>
      </c>
      <c r="E142" s="325">
        <v>337.69</v>
      </c>
      <c r="F142" s="81">
        <v>1000</v>
      </c>
      <c r="G142" s="81"/>
    </row>
    <row r="143" spans="1:10" ht="16.5" customHeight="1">
      <c r="A143" s="368"/>
      <c r="B143" s="371">
        <v>85219</v>
      </c>
      <c r="C143" s="370"/>
      <c r="D143" s="76" t="s">
        <v>35</v>
      </c>
      <c r="E143" s="280">
        <f>SUM(E144:E147)</f>
        <v>561253.39</v>
      </c>
      <c r="F143" s="178">
        <f>SUM(F144:F147)</f>
        <v>510640</v>
      </c>
      <c r="G143" s="178">
        <f>SUM(G144:G147)</f>
        <v>0</v>
      </c>
      <c r="J143" t="s">
        <v>10</v>
      </c>
    </row>
    <row r="144" spans="1:7" ht="12.75" customHeight="1">
      <c r="A144" s="386"/>
      <c r="B144" s="401"/>
      <c r="C144" s="370">
        <v>830</v>
      </c>
      <c r="D144" s="77" t="s">
        <v>57</v>
      </c>
      <c r="E144" s="336">
        <v>29735.35</v>
      </c>
      <c r="F144" s="258">
        <v>29000</v>
      </c>
      <c r="G144" s="341"/>
    </row>
    <row r="145" spans="1:7" ht="14.25" customHeight="1">
      <c r="A145" s="386"/>
      <c r="B145" s="401"/>
      <c r="C145" s="388">
        <v>920</v>
      </c>
      <c r="D145" s="170" t="s">
        <v>74</v>
      </c>
      <c r="E145" s="336">
        <v>25099.39</v>
      </c>
      <c r="F145" s="258">
        <v>15000</v>
      </c>
      <c r="G145" s="341"/>
    </row>
    <row r="146" spans="1:7" ht="13.5" customHeight="1">
      <c r="A146" s="386"/>
      <c r="B146" s="401"/>
      <c r="C146" s="370">
        <v>970</v>
      </c>
      <c r="D146" s="77" t="s">
        <v>58</v>
      </c>
      <c r="E146" s="336">
        <v>12254.65</v>
      </c>
      <c r="F146" s="258">
        <v>5000</v>
      </c>
      <c r="G146" s="341"/>
    </row>
    <row r="147" spans="1:7" ht="33" customHeight="1">
      <c r="A147" s="386"/>
      <c r="B147" s="387"/>
      <c r="C147" s="388">
        <v>2030</v>
      </c>
      <c r="D147" s="78" t="s">
        <v>118</v>
      </c>
      <c r="E147" s="281">
        <v>494164</v>
      </c>
      <c r="F147" s="258">
        <v>461640</v>
      </c>
      <c r="G147" s="258"/>
    </row>
    <row r="148" spans="1:7" ht="15.75" customHeight="1">
      <c r="A148" s="386"/>
      <c r="B148" s="401">
        <v>85278</v>
      </c>
      <c r="C148" s="402"/>
      <c r="D148" s="82" t="s">
        <v>191</v>
      </c>
      <c r="E148" s="342">
        <f>SUM(E149)</f>
        <v>293484</v>
      </c>
      <c r="F148" s="341"/>
      <c r="G148" s="341"/>
    </row>
    <row r="149" spans="1:7" ht="45.75" customHeight="1">
      <c r="A149" s="386"/>
      <c r="B149" s="387"/>
      <c r="C149" s="370">
        <v>2010</v>
      </c>
      <c r="D149" s="78" t="s">
        <v>138</v>
      </c>
      <c r="E149" s="281">
        <v>293484</v>
      </c>
      <c r="F149" s="258"/>
      <c r="G149" s="258"/>
    </row>
    <row r="150" spans="1:7" ht="15.75" customHeight="1">
      <c r="A150" s="368"/>
      <c r="B150" s="371">
        <v>85295</v>
      </c>
      <c r="C150" s="372"/>
      <c r="D150" s="76" t="s">
        <v>3</v>
      </c>
      <c r="E150" s="280">
        <f>SUM(E151:E151)</f>
        <v>731022</v>
      </c>
      <c r="F150" s="178">
        <f>SUM(F151:F151)</f>
        <v>358197</v>
      </c>
      <c r="G150" s="81"/>
    </row>
    <row r="151" spans="1:7" ht="36.75" customHeight="1" thickBot="1">
      <c r="A151" s="386"/>
      <c r="B151" s="387"/>
      <c r="C151" s="388">
        <v>2030</v>
      </c>
      <c r="D151" s="78" t="s">
        <v>118</v>
      </c>
      <c r="E151" s="322">
        <v>731022</v>
      </c>
      <c r="F151" s="258">
        <v>358197</v>
      </c>
      <c r="G151" s="258"/>
    </row>
    <row r="152" spans="1:8" ht="24.75" customHeight="1" thickBot="1">
      <c r="A152" s="381">
        <v>853</v>
      </c>
      <c r="B152" s="377"/>
      <c r="C152" s="378"/>
      <c r="D152" s="187" t="s">
        <v>97</v>
      </c>
      <c r="E152" s="331">
        <f>+E153</f>
        <v>6999.2</v>
      </c>
      <c r="F152" s="330">
        <f>+F153</f>
        <v>7000</v>
      </c>
      <c r="G152" s="352">
        <f>+G153</f>
        <v>0</v>
      </c>
      <c r="H152" t="s">
        <v>10</v>
      </c>
    </row>
    <row r="153" spans="1:7" ht="15" customHeight="1">
      <c r="A153" s="366"/>
      <c r="B153" s="367">
        <v>85305</v>
      </c>
      <c r="C153" s="345"/>
      <c r="D153" s="184" t="s">
        <v>8</v>
      </c>
      <c r="E153" s="283">
        <f>SUM(E154)</f>
        <v>6999.2</v>
      </c>
      <c r="F153" s="253">
        <f>SUM(F154)</f>
        <v>7000</v>
      </c>
      <c r="G153" s="81"/>
    </row>
    <row r="154" spans="1:51" s="3" customFormat="1" ht="15" customHeight="1" thickBot="1">
      <c r="A154" s="382"/>
      <c r="B154" s="369"/>
      <c r="C154" s="370">
        <v>830</v>
      </c>
      <c r="D154" s="77" t="s">
        <v>57</v>
      </c>
      <c r="E154" s="343">
        <v>6999.2</v>
      </c>
      <c r="F154" s="230">
        <v>7000</v>
      </c>
      <c r="G154" s="35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1:7" ht="14.25" customHeight="1" thickBot="1">
      <c r="A155" s="381">
        <v>854</v>
      </c>
      <c r="B155" s="377"/>
      <c r="C155" s="378" t="s">
        <v>51</v>
      </c>
      <c r="D155" s="187" t="s">
        <v>36</v>
      </c>
      <c r="E155" s="331">
        <f>SUM(E156+E158)</f>
        <v>293854.45</v>
      </c>
      <c r="F155" s="330">
        <f>SUM(F156+F158)</f>
        <v>0</v>
      </c>
      <c r="G155" s="352"/>
    </row>
    <row r="156" spans="1:7" ht="13.5" customHeight="1">
      <c r="A156" s="391"/>
      <c r="B156" s="371">
        <v>85415</v>
      </c>
      <c r="C156" s="372"/>
      <c r="D156" s="82" t="s">
        <v>56</v>
      </c>
      <c r="E156" s="280">
        <f>SUM(E157)</f>
        <v>254854.45</v>
      </c>
      <c r="F156" s="178">
        <f>SUM(F157)</f>
        <v>0</v>
      </c>
      <c r="G156" s="178"/>
    </row>
    <row r="157" spans="1:8" ht="32.25" customHeight="1">
      <c r="A157" s="391"/>
      <c r="B157" s="369"/>
      <c r="C157" s="370">
        <v>2030</v>
      </c>
      <c r="D157" s="78" t="s">
        <v>118</v>
      </c>
      <c r="E157" s="297">
        <v>254854.45</v>
      </c>
      <c r="F157" s="81"/>
      <c r="G157" s="81"/>
      <c r="H157" t="s">
        <v>10</v>
      </c>
    </row>
    <row r="158" spans="1:7" ht="15.75" customHeight="1">
      <c r="A158" s="391"/>
      <c r="B158" s="371">
        <v>85495</v>
      </c>
      <c r="C158" s="372"/>
      <c r="D158" s="82" t="s">
        <v>3</v>
      </c>
      <c r="E158" s="329">
        <f>SUM(E159)</f>
        <v>39000</v>
      </c>
      <c r="F158" s="178">
        <f>SUM(F159)</f>
        <v>0</v>
      </c>
      <c r="G158" s="178"/>
    </row>
    <row r="159" spans="1:7" ht="47.25" customHeight="1" thickBot="1">
      <c r="A159" s="403"/>
      <c r="B159" s="387"/>
      <c r="C159" s="404">
        <v>2010</v>
      </c>
      <c r="D159" s="191" t="s">
        <v>138</v>
      </c>
      <c r="E159" s="344">
        <v>39000</v>
      </c>
      <c r="F159" s="258"/>
      <c r="G159" s="258"/>
    </row>
    <row r="160" spans="1:8" ht="24" customHeight="1" thickBot="1">
      <c r="A160" s="381">
        <v>900</v>
      </c>
      <c r="B160" s="377"/>
      <c r="C160" s="378"/>
      <c r="D160" s="187" t="s">
        <v>144</v>
      </c>
      <c r="E160" s="331">
        <f>SUM(+E161)</f>
        <v>524533.43</v>
      </c>
      <c r="F160" s="330">
        <f>SUM(+F161)</f>
        <v>676502</v>
      </c>
      <c r="G160" s="330">
        <f>SUM(+G161)</f>
        <v>0</v>
      </c>
      <c r="H160" t="s">
        <v>10</v>
      </c>
    </row>
    <row r="161" spans="1:7" ht="15.75" customHeight="1">
      <c r="A161" s="368"/>
      <c r="B161" s="371">
        <v>90095</v>
      </c>
      <c r="C161" s="372"/>
      <c r="D161" s="76" t="s">
        <v>3</v>
      </c>
      <c r="E161" s="280">
        <f>SUM(E162:E166)</f>
        <v>524533.43</v>
      </c>
      <c r="F161" s="178">
        <f>SUM(F163:F166)</f>
        <v>676502</v>
      </c>
      <c r="G161" s="178"/>
    </row>
    <row r="162" spans="1:7" ht="15.75" customHeight="1">
      <c r="A162" s="368"/>
      <c r="B162" s="371"/>
      <c r="C162" s="400">
        <v>570</v>
      </c>
      <c r="D162" s="287" t="s">
        <v>110</v>
      </c>
      <c r="E162" s="347">
        <v>891</v>
      </c>
      <c r="F162" s="178"/>
      <c r="G162" s="178"/>
    </row>
    <row r="163" spans="1:7" ht="14.25" customHeight="1">
      <c r="A163" s="368"/>
      <c r="B163" s="369"/>
      <c r="C163" s="388">
        <v>690</v>
      </c>
      <c r="D163" s="191" t="s">
        <v>59</v>
      </c>
      <c r="E163" s="325">
        <v>119262.33</v>
      </c>
      <c r="F163" s="81">
        <f>50000+4000+8000</f>
        <v>62000</v>
      </c>
      <c r="G163" s="178"/>
    </row>
    <row r="164" spans="1:7" ht="22.5" customHeight="1">
      <c r="A164" s="368"/>
      <c r="B164" s="369"/>
      <c r="C164" s="370">
        <v>740</v>
      </c>
      <c r="D164" s="78" t="s">
        <v>83</v>
      </c>
      <c r="E164" s="325">
        <v>372902</v>
      </c>
      <c r="F164" s="81">
        <v>604502</v>
      </c>
      <c r="G164" s="178"/>
    </row>
    <row r="165" spans="1:7" ht="22.5" customHeight="1">
      <c r="A165" s="368"/>
      <c r="B165" s="369"/>
      <c r="C165" s="370">
        <v>910</v>
      </c>
      <c r="D165" s="78" t="s">
        <v>137</v>
      </c>
      <c r="E165" s="325">
        <v>10804.32</v>
      </c>
      <c r="F165" s="81">
        <v>10000</v>
      </c>
      <c r="G165" s="178"/>
    </row>
    <row r="166" spans="1:8" ht="22.5" customHeight="1" thickBot="1">
      <c r="A166" s="386"/>
      <c r="B166" s="387"/>
      <c r="C166" s="388">
        <v>960</v>
      </c>
      <c r="D166" s="191" t="s">
        <v>136</v>
      </c>
      <c r="E166" s="322">
        <v>20673.78</v>
      </c>
      <c r="F166" s="311"/>
      <c r="G166" s="359"/>
      <c r="H166" t="s">
        <v>10</v>
      </c>
    </row>
    <row r="167" spans="1:7" ht="16.5" customHeight="1" thickBot="1">
      <c r="A167" s="405">
        <v>926</v>
      </c>
      <c r="B167" s="406"/>
      <c r="C167" s="407"/>
      <c r="D167" s="197" t="s">
        <v>14</v>
      </c>
      <c r="E167" s="282">
        <f>SUM(E168)</f>
        <v>9622.8</v>
      </c>
      <c r="F167" s="234">
        <f>SUM(F168)</f>
        <v>0</v>
      </c>
      <c r="G167" s="360"/>
    </row>
    <row r="168" spans="1:7" ht="16.5" customHeight="1">
      <c r="A168" s="366"/>
      <c r="B168" s="227">
        <v>92695</v>
      </c>
      <c r="C168" s="408"/>
      <c r="D168" s="188" t="s">
        <v>3</v>
      </c>
      <c r="E168" s="324">
        <f>SUM(E169)</f>
        <v>9622.8</v>
      </c>
      <c r="F168" s="253">
        <f>SUM(F169)</f>
        <v>0</v>
      </c>
      <c r="G168" s="361"/>
    </row>
    <row r="169" spans="1:9" ht="59.25" customHeight="1" thickBot="1">
      <c r="A169" s="368"/>
      <c r="B169" s="369"/>
      <c r="C169" s="370">
        <v>750</v>
      </c>
      <c r="D169" s="78" t="s">
        <v>107</v>
      </c>
      <c r="E169" s="310">
        <v>9622.8</v>
      </c>
      <c r="F169" s="311"/>
      <c r="G169" s="359"/>
      <c r="I169" t="s">
        <v>10</v>
      </c>
    </row>
    <row r="170" spans="1:7" ht="18.75" customHeight="1" thickBot="1">
      <c r="A170" s="409"/>
      <c r="B170" s="410"/>
      <c r="C170" s="411"/>
      <c r="D170" s="86" t="s">
        <v>79</v>
      </c>
      <c r="E170" s="349">
        <f>SUM(E167+E160+E155+E152+E126+E123+E97+E88+E53+E48+E43+E31+E28+E13+E17+E6)</f>
        <v>65702979.25</v>
      </c>
      <c r="F170" s="348">
        <f>SUM(F167+F160+F155+F152+F126+F123+F97+F88+F53+F48+F43+F31+F28+F17+F13+F6)</f>
        <v>68711805</v>
      </c>
      <c r="G170" s="362">
        <f>SUM(G160+G155+G152+G126+G123+G97+G88+G53+G48+G43+G31+G28+G13+G17+G6)</f>
        <v>13071940</v>
      </c>
    </row>
    <row r="173" ht="12.75">
      <c r="F173" s="198"/>
    </row>
    <row r="174" spans="6:7" ht="12.75">
      <c r="F174" s="198"/>
      <c r="G174" s="28" t="s">
        <v>10</v>
      </c>
    </row>
    <row r="175" ht="12.75">
      <c r="F175" s="198"/>
    </row>
    <row r="176" ht="12.75">
      <c r="F176" s="133"/>
    </row>
    <row r="177" ht="12.75">
      <c r="F177" s="69" t="s">
        <v>10</v>
      </c>
    </row>
  </sheetData>
  <sheetProtection/>
  <mergeCells count="2">
    <mergeCell ref="A2:G2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30.875" style="0" customWidth="1"/>
    <col min="4" max="4" width="10.875" style="0" customWidth="1"/>
    <col min="5" max="5" width="10.75390625" style="0" customWidth="1"/>
    <col min="6" max="6" width="11.00390625" style="0" customWidth="1"/>
    <col min="7" max="7" width="10.25390625" style="0" customWidth="1"/>
  </cols>
  <sheetData>
    <row r="1" spans="1:3" ht="52.5" customHeight="1">
      <c r="A1" s="571" t="s">
        <v>446</v>
      </c>
      <c r="B1" s="571"/>
      <c r="C1" s="571"/>
    </row>
    <row r="2" spans="1:7" ht="32.25" customHeight="1">
      <c r="A2" s="719" t="s">
        <v>189</v>
      </c>
      <c r="B2" s="719"/>
      <c r="C2" s="719"/>
      <c r="D2" s="719"/>
      <c r="E2" s="719"/>
      <c r="F2" s="719"/>
      <c r="G2" s="719"/>
    </row>
    <row r="3" ht="13.5" thickBot="1"/>
    <row r="4" spans="1:8" ht="27" customHeight="1">
      <c r="A4" s="726" t="s">
        <v>22</v>
      </c>
      <c r="B4" s="724" t="s">
        <v>1</v>
      </c>
      <c r="C4" s="722" t="s">
        <v>2</v>
      </c>
      <c r="D4" s="728" t="s">
        <v>190</v>
      </c>
      <c r="E4" s="720" t="s">
        <v>15</v>
      </c>
      <c r="F4" s="721"/>
      <c r="G4" s="52" t="s">
        <v>25</v>
      </c>
      <c r="H4" s="1"/>
    </row>
    <row r="5" spans="1:7" ht="36.75" thickBot="1">
      <c r="A5" s="727"/>
      <c r="B5" s="725"/>
      <c r="C5" s="723"/>
      <c r="D5" s="729"/>
      <c r="E5" s="55" t="s">
        <v>23</v>
      </c>
      <c r="F5" s="53" t="s">
        <v>24</v>
      </c>
      <c r="G5" s="54"/>
    </row>
    <row r="6" spans="1:7" ht="12.75">
      <c r="A6" s="23">
        <v>750</v>
      </c>
      <c r="B6" s="23"/>
      <c r="C6" s="23" t="s">
        <v>28</v>
      </c>
      <c r="D6" s="42">
        <f>SUM(D7:D7)</f>
        <v>205876</v>
      </c>
      <c r="E6" s="42">
        <f>SUM(E7:E7)</f>
        <v>205876</v>
      </c>
      <c r="F6" s="42">
        <f>SUM(F7)</f>
        <v>201681</v>
      </c>
      <c r="G6" s="42">
        <f>SUM(G7)</f>
        <v>0</v>
      </c>
    </row>
    <row r="7" spans="1:7" ht="12.75">
      <c r="A7" s="24"/>
      <c r="B7" s="24">
        <v>75011</v>
      </c>
      <c r="C7" s="24" t="s">
        <v>55</v>
      </c>
      <c r="D7" s="29">
        <v>205876</v>
      </c>
      <c r="E7" s="29">
        <v>205876</v>
      </c>
      <c r="F7" s="29">
        <v>201681</v>
      </c>
      <c r="G7" s="29"/>
    </row>
    <row r="8" spans="1:8" ht="36.75" customHeight="1">
      <c r="A8" s="25">
        <v>751</v>
      </c>
      <c r="B8" s="25"/>
      <c r="C8" s="18" t="s">
        <v>255</v>
      </c>
      <c r="D8" s="39">
        <f>SUM(D9:D9)</f>
        <v>5690</v>
      </c>
      <c r="E8" s="39">
        <f>SUM(E9:E9)</f>
        <v>5690</v>
      </c>
      <c r="F8" s="39">
        <f>SUM(F9:F9)</f>
        <v>5000</v>
      </c>
      <c r="G8" s="39"/>
      <c r="H8" t="s">
        <v>10</v>
      </c>
    </row>
    <row r="9" spans="1:7" ht="25.5" customHeight="1">
      <c r="A9" s="24"/>
      <c r="B9" s="12">
        <v>75101</v>
      </c>
      <c r="C9" s="15" t="s">
        <v>66</v>
      </c>
      <c r="D9" s="29">
        <v>5690</v>
      </c>
      <c r="E9" s="29">
        <v>5690</v>
      </c>
      <c r="F9" s="29">
        <v>5000</v>
      </c>
      <c r="G9" s="29"/>
    </row>
    <row r="10" spans="1:7" ht="24">
      <c r="A10" s="9">
        <v>754</v>
      </c>
      <c r="B10" s="10"/>
      <c r="C10" s="18" t="s">
        <v>42</v>
      </c>
      <c r="D10" s="39">
        <f>SUM(D11)</f>
        <v>2000</v>
      </c>
      <c r="E10" s="39">
        <f>SUM(E11)</f>
        <v>2000</v>
      </c>
      <c r="F10" s="39">
        <f>SUM(F11)</f>
        <v>0</v>
      </c>
      <c r="G10" s="39">
        <f>SUM(G11)</f>
        <v>0</v>
      </c>
    </row>
    <row r="11" spans="1:7" ht="14.25" customHeight="1">
      <c r="A11" s="24"/>
      <c r="B11" s="12">
        <v>75414</v>
      </c>
      <c r="C11" s="16" t="s">
        <v>11</v>
      </c>
      <c r="D11" s="29">
        <v>2000</v>
      </c>
      <c r="E11" s="29">
        <v>2000</v>
      </c>
      <c r="F11" s="29"/>
      <c r="G11" s="29"/>
    </row>
    <row r="12" spans="1:7" ht="15.75" customHeight="1">
      <c r="A12" s="9">
        <v>852</v>
      </c>
      <c r="B12" s="10"/>
      <c r="C12" s="17" t="s">
        <v>93</v>
      </c>
      <c r="D12" s="39">
        <f>SUM(D13:D15)</f>
        <v>12858374</v>
      </c>
      <c r="E12" s="39">
        <f>SUM(E13:E15)</f>
        <v>12858374</v>
      </c>
      <c r="F12" s="39">
        <f>SUM(F13:F15)</f>
        <v>319423</v>
      </c>
      <c r="G12" s="39">
        <f>SUM(G13:G15)</f>
        <v>0</v>
      </c>
    </row>
    <row r="13" spans="1:7" ht="52.5" customHeight="1">
      <c r="A13" s="9"/>
      <c r="B13" s="27">
        <v>85212</v>
      </c>
      <c r="C13" s="182" t="s">
        <v>184</v>
      </c>
      <c r="D13" s="428">
        <v>11950000</v>
      </c>
      <c r="E13" s="429">
        <v>11950000</v>
      </c>
      <c r="F13" s="429">
        <v>319423</v>
      </c>
      <c r="G13" s="430"/>
    </row>
    <row r="14" spans="1:7" ht="60">
      <c r="A14" s="9"/>
      <c r="B14" s="27">
        <v>85213</v>
      </c>
      <c r="C14" s="15" t="s">
        <v>193</v>
      </c>
      <c r="D14" s="429">
        <v>84374</v>
      </c>
      <c r="E14" s="431">
        <v>84374</v>
      </c>
      <c r="F14" s="429"/>
      <c r="G14" s="430"/>
    </row>
    <row r="15" spans="1:7" ht="35.25" customHeight="1">
      <c r="A15" s="24"/>
      <c r="B15" s="12">
        <v>85214</v>
      </c>
      <c r="C15" s="15" t="s">
        <v>135</v>
      </c>
      <c r="D15" s="429">
        <v>824000</v>
      </c>
      <c r="E15" s="429">
        <v>824000</v>
      </c>
      <c r="F15" s="429"/>
      <c r="G15" s="429"/>
    </row>
    <row r="16" spans="1:8" ht="12.75">
      <c r="A16" s="718" t="s">
        <v>13</v>
      </c>
      <c r="B16" s="718"/>
      <c r="C16" s="718"/>
      <c r="D16" s="39">
        <f>SUM(D6+D8+D10+D12)</f>
        <v>13071940</v>
      </c>
      <c r="E16" s="39">
        <f>SUM(E6+E8+E10+E12)</f>
        <v>13071940</v>
      </c>
      <c r="F16" s="39">
        <f>SUM(F6+F8+F10+F12)</f>
        <v>526104</v>
      </c>
      <c r="G16" s="39">
        <f>SUM(G6+G8+G10+G12)</f>
        <v>0</v>
      </c>
      <c r="H16" t="s">
        <v>10</v>
      </c>
    </row>
    <row r="18" spans="5:7" ht="12.75">
      <c r="E18" t="s">
        <v>10</v>
      </c>
      <c r="G18" t="s">
        <v>10</v>
      </c>
    </row>
    <row r="19" ht="12.75">
      <c r="C19" t="s">
        <v>10</v>
      </c>
    </row>
  </sheetData>
  <sheetProtection/>
  <mergeCells count="8">
    <mergeCell ref="A16:C16"/>
    <mergeCell ref="A2:G2"/>
    <mergeCell ref="A1:C1"/>
    <mergeCell ref="E4:F4"/>
    <mergeCell ref="C4:C5"/>
    <mergeCell ref="B4:B5"/>
    <mergeCell ref="A4:A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7.375" style="0" customWidth="1"/>
    <col min="2" max="2" width="45.00390625" style="0" customWidth="1"/>
    <col min="3" max="3" width="17.875" style="0" customWidth="1"/>
    <col min="4" max="4" width="31.625" style="0" customWidth="1"/>
    <col min="5" max="5" width="12.125" style="0" customWidth="1"/>
  </cols>
  <sheetData>
    <row r="1" spans="1:2" ht="57.75" customHeight="1">
      <c r="A1" s="659" t="s">
        <v>453</v>
      </c>
      <c r="B1" s="570"/>
    </row>
    <row r="2" spans="1:4" ht="14.25" customHeight="1">
      <c r="A2" s="216"/>
      <c r="B2" s="216"/>
      <c r="C2" s="216"/>
      <c r="D2" s="216"/>
    </row>
    <row r="3" spans="1:4" ht="14.25" customHeight="1">
      <c r="A3" s="658" t="s">
        <v>257</v>
      </c>
      <c r="B3" s="658"/>
      <c r="C3" s="658"/>
      <c r="D3" s="216"/>
    </row>
    <row r="4" spans="1:4" ht="14.25" customHeight="1">
      <c r="A4" s="658" t="s">
        <v>258</v>
      </c>
      <c r="B4" s="658"/>
      <c r="C4" s="658"/>
      <c r="D4" s="216"/>
    </row>
    <row r="5" spans="1:4" ht="14.25" customHeight="1">
      <c r="A5" s="436"/>
      <c r="B5" s="436"/>
      <c r="C5" s="436"/>
      <c r="D5" s="216"/>
    </row>
    <row r="6" spans="1:4" ht="14.25" customHeight="1">
      <c r="A6" s="436"/>
      <c r="B6" s="436"/>
      <c r="C6" s="437" t="s">
        <v>259</v>
      </c>
      <c r="D6" s="216"/>
    </row>
    <row r="7" spans="1:4" ht="14.25" customHeight="1">
      <c r="A7" s="438" t="s">
        <v>146</v>
      </c>
      <c r="B7" s="438" t="s">
        <v>145</v>
      </c>
      <c r="C7" s="438" t="s">
        <v>260</v>
      </c>
      <c r="D7" s="216"/>
    </row>
    <row r="8" spans="1:4" ht="14.25" customHeight="1" thickBot="1">
      <c r="A8" s="439" t="s">
        <v>261</v>
      </c>
      <c r="B8" s="440" t="s">
        <v>262</v>
      </c>
      <c r="C8" s="441">
        <v>140018</v>
      </c>
      <c r="D8" s="216"/>
    </row>
    <row r="9" spans="1:4" ht="14.25" customHeight="1" thickBot="1">
      <c r="A9" s="208" t="s">
        <v>263</v>
      </c>
      <c r="B9" s="442" t="s">
        <v>264</v>
      </c>
      <c r="C9" s="443">
        <f>SUM(C10)</f>
        <v>300000</v>
      </c>
      <c r="D9" s="216"/>
    </row>
    <row r="10" spans="1:4" ht="16.5" customHeight="1" thickBot="1">
      <c r="A10" s="444" t="s">
        <v>265</v>
      </c>
      <c r="B10" s="445" t="s">
        <v>266</v>
      </c>
      <c r="C10" s="446">
        <v>300000</v>
      </c>
      <c r="D10" s="216"/>
    </row>
    <row r="11" spans="1:4" ht="14.25" customHeight="1" thickBot="1">
      <c r="A11" s="208" t="s">
        <v>267</v>
      </c>
      <c r="B11" s="442" t="s">
        <v>268</v>
      </c>
      <c r="C11" s="443">
        <f>SUM(C12+C18)</f>
        <v>440000</v>
      </c>
      <c r="D11" s="216"/>
    </row>
    <row r="12" spans="1:4" ht="19.5" customHeight="1" thickBot="1">
      <c r="A12" s="447" t="s">
        <v>265</v>
      </c>
      <c r="B12" s="448" t="s">
        <v>269</v>
      </c>
      <c r="C12" s="449">
        <f>SUM(C13:C17)</f>
        <v>186000</v>
      </c>
      <c r="D12" s="216"/>
    </row>
    <row r="13" spans="1:4" ht="18.75" customHeight="1" thickTop="1">
      <c r="A13" s="450"/>
      <c r="B13" s="451" t="s">
        <v>270</v>
      </c>
      <c r="C13" s="452">
        <v>60000</v>
      </c>
      <c r="D13" s="216"/>
    </row>
    <row r="14" spans="1:4" ht="18" customHeight="1">
      <c r="A14" s="453"/>
      <c r="B14" s="454" t="s">
        <v>271</v>
      </c>
      <c r="C14" s="455">
        <v>18000</v>
      </c>
      <c r="D14" s="216"/>
    </row>
    <row r="15" spans="1:4" ht="18.75" customHeight="1">
      <c r="A15" s="453"/>
      <c r="B15" s="454" t="s">
        <v>272</v>
      </c>
      <c r="C15" s="455">
        <v>90000</v>
      </c>
      <c r="D15" s="216"/>
    </row>
    <row r="16" spans="1:4" ht="17.25" customHeight="1">
      <c r="A16" s="453"/>
      <c r="B16" s="454" t="s">
        <v>273</v>
      </c>
      <c r="C16" s="455">
        <v>8000</v>
      </c>
      <c r="D16" s="216"/>
    </row>
    <row r="17" spans="1:4" ht="23.25" customHeight="1">
      <c r="A17" s="453"/>
      <c r="B17" s="456" t="s">
        <v>274</v>
      </c>
      <c r="C17" s="455">
        <v>10000</v>
      </c>
      <c r="D17" s="216"/>
    </row>
    <row r="18" spans="1:4" ht="18" customHeight="1" thickBot="1">
      <c r="A18" s="457" t="s">
        <v>275</v>
      </c>
      <c r="B18" s="458" t="s">
        <v>276</v>
      </c>
      <c r="C18" s="459">
        <f>SUM(C19:C21)</f>
        <v>254000</v>
      </c>
      <c r="D18" s="216"/>
    </row>
    <row r="19" spans="1:3" ht="18" customHeight="1" thickTop="1">
      <c r="A19" s="450"/>
      <c r="B19" s="71" t="s">
        <v>277</v>
      </c>
      <c r="C19" s="452">
        <v>50000</v>
      </c>
    </row>
    <row r="20" spans="1:3" ht="24">
      <c r="A20" s="453"/>
      <c r="B20" s="26" t="s">
        <v>278</v>
      </c>
      <c r="C20" s="455">
        <v>100000</v>
      </c>
    </row>
    <row r="21" spans="1:3" ht="24.75" thickBot="1">
      <c r="A21" s="460"/>
      <c r="B21" s="461" t="s">
        <v>436</v>
      </c>
      <c r="C21" s="462">
        <v>104000</v>
      </c>
    </row>
    <row r="22" spans="1:3" ht="15.75" customHeight="1" thickBot="1">
      <c r="A22" s="208" t="s">
        <v>279</v>
      </c>
      <c r="B22" s="442" t="s">
        <v>280</v>
      </c>
      <c r="C22" s="443">
        <v>18</v>
      </c>
    </row>
  </sheetData>
  <sheetProtection/>
  <mergeCells count="3">
    <mergeCell ref="A3:C3"/>
    <mergeCell ref="A4:C4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7.25390625" style="0" customWidth="1"/>
    <col min="4" max="4" width="29.125" style="0" customWidth="1"/>
    <col min="5" max="5" width="11.125" style="0" customWidth="1"/>
  </cols>
  <sheetData>
    <row r="1" spans="1:4" ht="57.75" customHeight="1">
      <c r="A1" s="571" t="s">
        <v>452</v>
      </c>
      <c r="B1" s="571"/>
      <c r="C1" s="571"/>
      <c r="D1" s="571"/>
    </row>
    <row r="3" spans="1:5" ht="15">
      <c r="A3" s="121" t="s">
        <v>166</v>
      </c>
      <c r="B3" s="121"/>
      <c r="C3" s="121"/>
      <c r="D3" s="121"/>
      <c r="E3" s="121"/>
    </row>
    <row r="5" ht="12.75">
      <c r="A5" s="93" t="s">
        <v>167</v>
      </c>
    </row>
    <row r="6" ht="13.5" thickBot="1"/>
    <row r="7" spans="1:5" ht="13.5" thickBot="1">
      <c r="A7" s="122" t="s">
        <v>22</v>
      </c>
      <c r="B7" s="123" t="s">
        <v>1</v>
      </c>
      <c r="C7" s="123"/>
      <c r="D7" s="123" t="s">
        <v>2</v>
      </c>
      <c r="E7" s="124" t="s">
        <v>168</v>
      </c>
    </row>
    <row r="8" spans="1:5" ht="13.5" thickBot="1">
      <c r="A8" s="125">
        <v>926</v>
      </c>
      <c r="B8" s="126"/>
      <c r="C8" s="126"/>
      <c r="D8" s="126" t="s">
        <v>14</v>
      </c>
      <c r="E8" s="127">
        <f>E9</f>
        <v>1190000</v>
      </c>
    </row>
    <row r="9" spans="1:5" ht="12.75">
      <c r="A9" s="23"/>
      <c r="B9" s="23">
        <v>92695</v>
      </c>
      <c r="C9" s="23"/>
      <c r="D9" s="23" t="s">
        <v>3</v>
      </c>
      <c r="E9" s="42">
        <f>SUM(E10:E11)</f>
        <v>1190000</v>
      </c>
    </row>
    <row r="10" spans="1:5" ht="12.75">
      <c r="A10" s="67"/>
      <c r="B10" s="67"/>
      <c r="C10" s="67" t="s">
        <v>64</v>
      </c>
      <c r="D10" s="67" t="s">
        <v>169</v>
      </c>
      <c r="E10" s="44">
        <v>860000</v>
      </c>
    </row>
    <row r="11" spans="1:5" ht="27.75" customHeight="1" thickBot="1">
      <c r="A11" s="128"/>
      <c r="B11" s="128"/>
      <c r="C11" s="128"/>
      <c r="D11" s="129" t="s">
        <v>170</v>
      </c>
      <c r="E11" s="130">
        <v>330000</v>
      </c>
    </row>
    <row r="12" spans="1:5" ht="27.75" customHeight="1" thickTop="1">
      <c r="A12" s="28"/>
      <c r="B12" s="131"/>
      <c r="C12" s="131"/>
      <c r="D12" s="71" t="s">
        <v>171</v>
      </c>
      <c r="E12" s="43">
        <v>3289</v>
      </c>
    </row>
    <row r="13" spans="4:5" ht="12.75">
      <c r="D13" s="132" t="s">
        <v>23</v>
      </c>
      <c r="E13" s="133">
        <f>E8+E12</f>
        <v>1193289</v>
      </c>
    </row>
    <row r="14" ht="12.75">
      <c r="A14" s="93" t="s">
        <v>172</v>
      </c>
    </row>
    <row r="15" ht="13.5" thickBot="1"/>
    <row r="16" spans="1:5" ht="13.5" thickBot="1">
      <c r="A16" s="122" t="s">
        <v>22</v>
      </c>
      <c r="B16" s="123" t="s">
        <v>1</v>
      </c>
      <c r="C16" s="123"/>
      <c r="D16" s="123" t="s">
        <v>2</v>
      </c>
      <c r="E16" s="124" t="s">
        <v>168</v>
      </c>
    </row>
    <row r="17" spans="1:5" ht="12.75">
      <c r="A17" s="134">
        <v>926</v>
      </c>
      <c r="B17" s="135"/>
      <c r="C17" s="135"/>
      <c r="D17" s="135" t="s">
        <v>14</v>
      </c>
      <c r="E17" s="136">
        <f>E18</f>
        <v>1192700</v>
      </c>
    </row>
    <row r="18" spans="1:5" ht="13.5" thickBot="1">
      <c r="A18" s="137"/>
      <c r="B18" s="137">
        <v>92695</v>
      </c>
      <c r="C18" s="137"/>
      <c r="D18" s="137" t="s">
        <v>3</v>
      </c>
      <c r="E18" s="138">
        <f>SUM(E19:E20)</f>
        <v>1192700</v>
      </c>
    </row>
    <row r="19" spans="1:5" ht="32.25" customHeight="1" thickTop="1">
      <c r="A19" s="131"/>
      <c r="B19" s="131"/>
      <c r="C19" s="139" t="s">
        <v>64</v>
      </c>
      <c r="D19" s="71" t="s">
        <v>173</v>
      </c>
      <c r="E19" s="43">
        <v>558300</v>
      </c>
    </row>
    <row r="20" spans="1:5" ht="18.75" customHeight="1" thickBot="1">
      <c r="A20" s="128"/>
      <c r="B20" s="128"/>
      <c r="C20" s="128"/>
      <c r="D20" s="129" t="s">
        <v>174</v>
      </c>
      <c r="E20" s="130">
        <v>634400</v>
      </c>
    </row>
    <row r="21" spans="1:5" ht="27" customHeight="1" thickTop="1">
      <c r="A21" s="28"/>
      <c r="B21" s="131"/>
      <c r="C21" s="131"/>
      <c r="D21" s="71" t="s">
        <v>175</v>
      </c>
      <c r="E21" s="43">
        <v>589</v>
      </c>
    </row>
    <row r="22" spans="4:5" ht="12.75">
      <c r="D22" s="93" t="s">
        <v>20</v>
      </c>
      <c r="E22" s="133">
        <f>E17+E21</f>
        <v>1193289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7.00390625" style="0" customWidth="1"/>
    <col min="4" max="4" width="40.00390625" style="0" customWidth="1"/>
    <col min="5" max="5" width="13.875" style="0" customWidth="1"/>
  </cols>
  <sheetData>
    <row r="1" spans="1:5" ht="52.5" customHeight="1">
      <c r="A1" s="571" t="s">
        <v>451</v>
      </c>
      <c r="B1" s="571"/>
      <c r="C1" s="571"/>
      <c r="D1" s="571"/>
      <c r="E1" s="571"/>
    </row>
    <row r="3" spans="1:5" ht="55.5" customHeight="1" thickBot="1">
      <c r="A3" s="560" t="s">
        <v>161</v>
      </c>
      <c r="B3" s="560"/>
      <c r="C3" s="560"/>
      <c r="D3" s="560"/>
      <c r="E3" s="560"/>
    </row>
    <row r="4" spans="1:5" ht="32.25" customHeight="1" thickBot="1">
      <c r="A4" s="208" t="s">
        <v>0</v>
      </c>
      <c r="B4" s="209" t="s">
        <v>1</v>
      </c>
      <c r="C4" s="209" t="s">
        <v>75</v>
      </c>
      <c r="D4" s="210" t="s">
        <v>2</v>
      </c>
      <c r="E4" s="207" t="s">
        <v>162</v>
      </c>
    </row>
    <row r="5" spans="1:5" ht="18" customHeight="1" thickBot="1">
      <c r="A5" s="116">
        <v>750</v>
      </c>
      <c r="B5" s="117"/>
      <c r="C5" s="117"/>
      <c r="D5" s="118" t="s">
        <v>163</v>
      </c>
      <c r="E5" s="119">
        <f>SUM(E6)</f>
        <v>228200</v>
      </c>
    </row>
    <row r="6" spans="1:5" ht="16.5" customHeight="1">
      <c r="A6" s="205"/>
      <c r="B6" s="205">
        <v>75011</v>
      </c>
      <c r="C6" s="205"/>
      <c r="D6" s="206" t="s">
        <v>55</v>
      </c>
      <c r="E6" s="206">
        <f>SUM(E7:E8)</f>
        <v>228200</v>
      </c>
    </row>
    <row r="7" spans="1:5" ht="39" customHeight="1">
      <c r="A7" s="94"/>
      <c r="B7" s="94"/>
      <c r="C7" s="94">
        <v>2350</v>
      </c>
      <c r="D7" s="120" t="s">
        <v>164</v>
      </c>
      <c r="E7" s="97">
        <v>228000</v>
      </c>
    </row>
    <row r="8" spans="1:5" ht="49.5" customHeight="1" thickBot="1">
      <c r="A8" s="96"/>
      <c r="B8" s="96"/>
      <c r="C8" s="199">
        <v>2350</v>
      </c>
      <c r="D8" s="201" t="s">
        <v>165</v>
      </c>
      <c r="E8" s="96">
        <v>200</v>
      </c>
    </row>
    <row r="9" spans="1:5" ht="20.25" customHeight="1" thickBot="1">
      <c r="A9" s="108">
        <v>852</v>
      </c>
      <c r="B9" s="109"/>
      <c r="C9" s="109"/>
      <c r="D9" s="109" t="s">
        <v>197</v>
      </c>
      <c r="E9" s="111">
        <f>SUM(E10)</f>
        <v>1000</v>
      </c>
    </row>
    <row r="10" spans="1:5" ht="39.75" customHeight="1">
      <c r="A10" s="202"/>
      <c r="B10" s="202">
        <v>85212</v>
      </c>
      <c r="C10" s="202"/>
      <c r="D10" s="203" t="s">
        <v>184</v>
      </c>
      <c r="E10" s="204">
        <f>SUM(E11)</f>
        <v>1000</v>
      </c>
    </row>
    <row r="11" spans="1:9" ht="36.75" thickBot="1">
      <c r="A11" s="79"/>
      <c r="B11" s="79"/>
      <c r="C11" s="92">
        <v>2350</v>
      </c>
      <c r="D11" s="201" t="s">
        <v>198</v>
      </c>
      <c r="E11" s="98">
        <v>1000</v>
      </c>
      <c r="I11" t="s">
        <v>10</v>
      </c>
    </row>
    <row r="12" spans="4:5" ht="21.75" customHeight="1" thickBot="1">
      <c r="D12" s="108" t="s">
        <v>79</v>
      </c>
      <c r="E12" s="111">
        <f>SUM(E5+E9)</f>
        <v>229200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125" style="0" customWidth="1"/>
    <col min="2" max="2" width="6.625" style="0" customWidth="1"/>
    <col min="4" max="4" width="39.125" style="0" customWidth="1"/>
    <col min="5" max="5" width="9.875" style="0" customWidth="1"/>
    <col min="6" max="6" width="11.125" style="0" customWidth="1"/>
  </cols>
  <sheetData>
    <row r="1" spans="1:4" ht="55.5" customHeight="1">
      <c r="A1" s="571" t="s">
        <v>450</v>
      </c>
      <c r="B1" s="556"/>
      <c r="C1" s="556"/>
      <c r="D1" s="556"/>
    </row>
    <row r="3" spans="1:5" ht="12.75">
      <c r="A3" s="558" t="s">
        <v>244</v>
      </c>
      <c r="B3" s="558"/>
      <c r="C3" s="558"/>
      <c r="D3" s="558"/>
      <c r="E3" s="558"/>
    </row>
    <row r="5" spans="1:5" ht="16.5" customHeight="1">
      <c r="A5" s="87" t="s">
        <v>151</v>
      </c>
      <c r="B5" s="87" t="s">
        <v>22</v>
      </c>
      <c r="C5" s="87" t="s">
        <v>153</v>
      </c>
      <c r="D5" s="87" t="s">
        <v>2</v>
      </c>
      <c r="E5" s="527" t="s">
        <v>150</v>
      </c>
    </row>
    <row r="6" spans="1:5" ht="16.5" customHeight="1">
      <c r="A6" s="87">
        <v>1</v>
      </c>
      <c r="B6" s="87"/>
      <c r="C6" s="87"/>
      <c r="D6" s="87" t="s">
        <v>201</v>
      </c>
      <c r="E6" s="88">
        <f>SUM(E7:E9)</f>
        <v>1813700</v>
      </c>
    </row>
    <row r="7" spans="1:5" ht="16.5" customHeight="1">
      <c r="A7" s="90"/>
      <c r="B7" s="114">
        <v>921</v>
      </c>
      <c r="C7" s="114">
        <v>92109</v>
      </c>
      <c r="D7" s="90" t="s">
        <v>154</v>
      </c>
      <c r="E7" s="89">
        <v>1138700</v>
      </c>
    </row>
    <row r="8" spans="1:5" ht="16.5" customHeight="1">
      <c r="A8" s="90"/>
      <c r="B8" s="114">
        <v>921</v>
      </c>
      <c r="C8" s="114">
        <v>92116</v>
      </c>
      <c r="D8" s="90" t="s">
        <v>155</v>
      </c>
      <c r="E8" s="89">
        <v>380000</v>
      </c>
    </row>
    <row r="9" spans="1:5" ht="16.5" customHeight="1">
      <c r="A9" s="90"/>
      <c r="B9" s="114">
        <v>921</v>
      </c>
      <c r="C9" s="114">
        <v>92118</v>
      </c>
      <c r="D9" s="90" t="s">
        <v>156</v>
      </c>
      <c r="E9" s="89">
        <v>295000</v>
      </c>
    </row>
    <row r="10" spans="1:5" ht="16.5" customHeight="1">
      <c r="A10" s="87">
        <v>2</v>
      </c>
      <c r="B10" s="87"/>
      <c r="C10" s="87"/>
      <c r="D10" s="87" t="s">
        <v>200</v>
      </c>
      <c r="E10" s="88">
        <f>SUM(E11:E13)</f>
        <v>478377</v>
      </c>
    </row>
    <row r="11" spans="1:5" ht="16.5" customHeight="1">
      <c r="A11" s="90"/>
      <c r="B11" s="114">
        <v>801</v>
      </c>
      <c r="C11" s="114">
        <v>80101</v>
      </c>
      <c r="D11" s="90" t="s">
        <v>33</v>
      </c>
      <c r="E11" s="89">
        <v>297009</v>
      </c>
    </row>
    <row r="12" spans="1:5" ht="16.5" customHeight="1">
      <c r="A12" s="90"/>
      <c r="B12" s="90"/>
      <c r="C12" s="114">
        <v>80103</v>
      </c>
      <c r="D12" s="90" t="s">
        <v>127</v>
      </c>
      <c r="E12" s="89">
        <v>37204</v>
      </c>
    </row>
    <row r="13" spans="1:5" ht="16.5" customHeight="1">
      <c r="A13" s="90"/>
      <c r="B13" s="90"/>
      <c r="C13" s="114">
        <v>80110</v>
      </c>
      <c r="D13" s="90" t="s">
        <v>6</v>
      </c>
      <c r="E13" s="89">
        <v>144164</v>
      </c>
    </row>
    <row r="14" spans="1:5" ht="16.5" customHeight="1">
      <c r="A14" s="87">
        <v>3</v>
      </c>
      <c r="B14" s="87"/>
      <c r="C14" s="87"/>
      <c r="D14" s="87" t="s">
        <v>199</v>
      </c>
      <c r="E14" s="88">
        <f>SUM(E15)</f>
        <v>330000</v>
      </c>
    </row>
    <row r="15" spans="1:5" ht="16.5" customHeight="1">
      <c r="A15" s="90"/>
      <c r="B15" s="90">
        <v>926</v>
      </c>
      <c r="C15" s="114">
        <v>92695</v>
      </c>
      <c r="D15" s="90" t="s">
        <v>157</v>
      </c>
      <c r="E15" s="89">
        <v>330000</v>
      </c>
    </row>
    <row r="16" spans="1:5" ht="18" customHeight="1">
      <c r="A16" s="267"/>
      <c r="B16" s="267"/>
      <c r="C16" s="267"/>
      <c r="D16" s="524" t="s">
        <v>121</v>
      </c>
      <c r="E16" s="115">
        <f>SUM(E6+E10+E14)</f>
        <v>2622077</v>
      </c>
    </row>
    <row r="17" ht="12.75">
      <c r="E17" s="113"/>
    </row>
    <row r="18" spans="1:5" ht="42.75" customHeight="1">
      <c r="A18" s="557" t="s">
        <v>235</v>
      </c>
      <c r="B18" s="557"/>
      <c r="C18" s="557"/>
      <c r="D18" s="557"/>
      <c r="E18" s="557"/>
    </row>
    <row r="19" spans="1:6" ht="39.75" customHeight="1">
      <c r="A19" s="291" t="s">
        <v>151</v>
      </c>
      <c r="B19" s="291" t="s">
        <v>22</v>
      </c>
      <c r="C19" s="291" t="s">
        <v>153</v>
      </c>
      <c r="D19" s="291" t="s">
        <v>2</v>
      </c>
      <c r="E19" s="200" t="s">
        <v>432</v>
      </c>
      <c r="F19" s="200" t="s">
        <v>433</v>
      </c>
    </row>
    <row r="20" spans="1:6" ht="22.5" customHeight="1">
      <c r="A20" s="525">
        <v>1</v>
      </c>
      <c r="B20" s="114">
        <v>754</v>
      </c>
      <c r="C20" s="114">
        <v>75412</v>
      </c>
      <c r="D20" s="90" t="s">
        <v>434</v>
      </c>
      <c r="E20" s="90"/>
      <c r="F20" s="526">
        <v>108000</v>
      </c>
    </row>
    <row r="21" spans="1:6" ht="18.75" customHeight="1">
      <c r="A21" s="79">
        <v>2</v>
      </c>
      <c r="B21" s="114">
        <v>851</v>
      </c>
      <c r="C21" s="114">
        <v>85154</v>
      </c>
      <c r="D21" s="553" t="s">
        <v>19</v>
      </c>
      <c r="E21" s="89">
        <v>202000</v>
      </c>
      <c r="F21" s="90"/>
    </row>
    <row r="22" spans="1:6" ht="24">
      <c r="A22" s="79">
        <v>3</v>
      </c>
      <c r="B22" s="114">
        <v>853</v>
      </c>
      <c r="C22" s="114">
        <v>85311</v>
      </c>
      <c r="D22" s="554" t="s">
        <v>158</v>
      </c>
      <c r="E22" s="89">
        <v>25000</v>
      </c>
      <c r="F22" s="90"/>
    </row>
    <row r="23" spans="1:6" ht="18.75" customHeight="1">
      <c r="A23" s="79">
        <v>4</v>
      </c>
      <c r="B23" s="114">
        <v>926</v>
      </c>
      <c r="C23" s="114">
        <v>92605</v>
      </c>
      <c r="D23" s="553" t="s">
        <v>159</v>
      </c>
      <c r="E23" s="89">
        <v>221000</v>
      </c>
      <c r="F23" s="90"/>
    </row>
    <row r="24" spans="1:6" ht="18" customHeight="1">
      <c r="A24" s="79"/>
      <c r="B24" s="90"/>
      <c r="C24" s="90"/>
      <c r="D24" s="87" t="s">
        <v>79</v>
      </c>
      <c r="E24" s="88">
        <f>SUM(E21:E23)</f>
        <v>448000</v>
      </c>
      <c r="F24" s="88">
        <f>SUM(F20:F23)</f>
        <v>108000</v>
      </c>
    </row>
    <row r="25" ht="12.75">
      <c r="E25" s="113"/>
    </row>
    <row r="26" spans="4:5" ht="12.75">
      <c r="D26" t="s">
        <v>160</v>
      </c>
      <c r="E26" s="115">
        <f>SUM(E16+E24+F24)</f>
        <v>3178077</v>
      </c>
    </row>
    <row r="28" spans="1:6" ht="12.75">
      <c r="A28" s="570" t="s">
        <v>435</v>
      </c>
      <c r="B28" s="559"/>
      <c r="C28" s="559"/>
      <c r="D28" s="559"/>
      <c r="E28" s="559"/>
      <c r="F28" s="559"/>
    </row>
  </sheetData>
  <sheetProtection/>
  <mergeCells count="4">
    <mergeCell ref="A1:D1"/>
    <mergeCell ref="A18:E18"/>
    <mergeCell ref="A3:E3"/>
    <mergeCell ref="A28:F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6.00390625" style="0" customWidth="1"/>
    <col min="4" max="4" width="44.375" style="0" customWidth="1"/>
    <col min="5" max="5" width="10.875" style="0" customWidth="1"/>
  </cols>
  <sheetData>
    <row r="1" spans="1:5" ht="55.5" customHeight="1">
      <c r="A1" s="571" t="s">
        <v>449</v>
      </c>
      <c r="B1" s="556"/>
      <c r="C1" s="556"/>
      <c r="D1" s="556"/>
      <c r="E1" s="556"/>
    </row>
    <row r="2" spans="1:5" ht="13.5" customHeight="1">
      <c r="A2" s="215"/>
      <c r="B2" s="216"/>
      <c r="C2" s="216"/>
      <c r="D2" s="216"/>
      <c r="E2" s="216"/>
    </row>
    <row r="3" ht="13.5" thickBot="1">
      <c r="A3" t="s">
        <v>236</v>
      </c>
    </row>
    <row r="4" spans="1:5" ht="18" customHeight="1" thickBot="1">
      <c r="A4" s="109" t="s">
        <v>0</v>
      </c>
      <c r="B4" s="109" t="s">
        <v>149</v>
      </c>
      <c r="C4" s="109" t="s">
        <v>75</v>
      </c>
      <c r="D4" s="109" t="s">
        <v>2</v>
      </c>
      <c r="E4" s="110" t="s">
        <v>150</v>
      </c>
    </row>
    <row r="5" spans="1:5" ht="12.75">
      <c r="A5" s="112">
        <v>758</v>
      </c>
      <c r="B5" s="112"/>
      <c r="C5" s="112"/>
      <c r="D5" s="112" t="s">
        <v>12</v>
      </c>
      <c r="E5" s="141">
        <f>SUM(E6)</f>
        <v>30000</v>
      </c>
    </row>
    <row r="6" spans="1:5" ht="24">
      <c r="A6" s="87"/>
      <c r="B6" s="87">
        <v>75809</v>
      </c>
      <c r="C6" s="87"/>
      <c r="D6" s="268" t="s">
        <v>237</v>
      </c>
      <c r="E6" s="88">
        <f>SUM(E7)</f>
        <v>30000</v>
      </c>
    </row>
    <row r="7" spans="1:5" ht="48">
      <c r="A7" s="87"/>
      <c r="B7" s="87"/>
      <c r="C7" s="90">
        <v>2320</v>
      </c>
      <c r="D7" s="26" t="s">
        <v>238</v>
      </c>
      <c r="E7" s="89">
        <v>30000</v>
      </c>
    </row>
    <row r="8" ht="24.75" customHeight="1">
      <c r="D8" s="267"/>
    </row>
    <row r="9" ht="13.5" thickBot="1">
      <c r="A9" t="s">
        <v>152</v>
      </c>
    </row>
    <row r="10" spans="1:5" ht="23.25" customHeight="1" thickBot="1">
      <c r="A10" s="108" t="s">
        <v>0</v>
      </c>
      <c r="B10" s="109" t="s">
        <v>149</v>
      </c>
      <c r="C10" s="109"/>
      <c r="D10" s="109" t="s">
        <v>2</v>
      </c>
      <c r="E10" s="110" t="s">
        <v>150</v>
      </c>
    </row>
    <row r="11" spans="1:5" ht="19.5" customHeight="1">
      <c r="A11" s="112">
        <v>758</v>
      </c>
      <c r="B11" s="202"/>
      <c r="C11" s="202"/>
      <c r="D11" s="112" t="s">
        <v>12</v>
      </c>
      <c r="E11" s="141">
        <f>SUM(E12)</f>
        <v>2281297</v>
      </c>
    </row>
    <row r="12" spans="1:5" ht="22.5" customHeight="1">
      <c r="A12" s="87"/>
      <c r="B12" s="87">
        <v>75809</v>
      </c>
      <c r="C12" s="107"/>
      <c r="D12" s="268" t="s">
        <v>237</v>
      </c>
      <c r="E12" s="88">
        <f>SUM(E13)</f>
        <v>2281297</v>
      </c>
    </row>
    <row r="13" spans="1:5" ht="49.5" customHeight="1">
      <c r="A13" s="112"/>
      <c r="B13" s="112"/>
      <c r="C13" s="269">
        <v>6300</v>
      </c>
      <c r="D13" s="271" t="s">
        <v>239</v>
      </c>
      <c r="E13" s="141">
        <f>SUM(E14:E17)</f>
        <v>2281297</v>
      </c>
    </row>
    <row r="14" spans="1:5" ht="24">
      <c r="A14" s="112"/>
      <c r="B14" s="112"/>
      <c r="C14" s="269"/>
      <c r="D14" s="120" t="s">
        <v>240</v>
      </c>
      <c r="E14" s="434">
        <v>100000</v>
      </c>
    </row>
    <row r="15" spans="1:6" ht="27" customHeight="1">
      <c r="A15" s="90"/>
      <c r="B15" s="90"/>
      <c r="C15" s="90"/>
      <c r="D15" s="270" t="s">
        <v>241</v>
      </c>
      <c r="E15" s="435">
        <v>1681761</v>
      </c>
      <c r="F15" t="s">
        <v>10</v>
      </c>
    </row>
    <row r="16" spans="1:5" ht="26.25" customHeight="1">
      <c r="A16" s="90"/>
      <c r="B16" s="90"/>
      <c r="C16" s="90"/>
      <c r="D16" s="270" t="s">
        <v>242</v>
      </c>
      <c r="E16" s="435">
        <f>190000+99536</f>
        <v>289536</v>
      </c>
    </row>
    <row r="17" spans="1:5" ht="28.5" customHeight="1">
      <c r="A17" s="90"/>
      <c r="B17" s="90"/>
      <c r="C17" s="90"/>
      <c r="D17" s="270" t="s">
        <v>243</v>
      </c>
      <c r="E17" s="89">
        <v>210000</v>
      </c>
    </row>
    <row r="20" ht="12.75">
      <c r="D20" t="s">
        <v>10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5.25390625" style="0" customWidth="1"/>
    <col min="4" max="4" width="4.75390625" style="0" customWidth="1"/>
    <col min="5" max="5" width="37.375" style="0" customWidth="1"/>
    <col min="6" max="6" width="11.375" style="0" customWidth="1"/>
    <col min="7" max="7" width="12.75390625" style="0" customWidth="1"/>
    <col min="8" max="9" width="10.125" style="0" customWidth="1"/>
    <col min="10" max="10" width="11.125" style="0" customWidth="1"/>
    <col min="11" max="11" width="11.875" style="0" customWidth="1"/>
    <col min="12" max="12" width="16.75390625" style="0" customWidth="1"/>
  </cols>
  <sheetData>
    <row r="1" spans="1:12" ht="51" customHeight="1">
      <c r="A1" s="672" t="s">
        <v>455</v>
      </c>
      <c r="B1" s="672"/>
      <c r="C1" s="672"/>
      <c r="D1" s="672"/>
      <c r="E1" s="672"/>
      <c r="F1" s="436"/>
      <c r="G1" s="436"/>
      <c r="H1" s="436"/>
      <c r="I1" s="436"/>
      <c r="J1" s="436"/>
      <c r="K1" s="436"/>
      <c r="L1" s="436" t="s">
        <v>10</v>
      </c>
    </row>
    <row r="2" spans="1:12" ht="18">
      <c r="A2" s="673" t="s">
        <v>456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</row>
    <row r="3" spans="1:12" ht="18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437" t="s">
        <v>259</v>
      </c>
    </row>
    <row r="4" spans="1:12" ht="12.75">
      <c r="A4" s="674" t="s">
        <v>146</v>
      </c>
      <c r="B4" s="674" t="s">
        <v>457</v>
      </c>
      <c r="C4" s="674" t="s">
        <v>458</v>
      </c>
      <c r="D4" s="674" t="s">
        <v>459</v>
      </c>
      <c r="E4" s="671" t="s">
        <v>460</v>
      </c>
      <c r="F4" s="671" t="s">
        <v>461</v>
      </c>
      <c r="G4" s="671" t="s">
        <v>462</v>
      </c>
      <c r="H4" s="671"/>
      <c r="I4" s="671"/>
      <c r="J4" s="671"/>
      <c r="K4" s="671"/>
      <c r="L4" s="671" t="s">
        <v>463</v>
      </c>
    </row>
    <row r="5" spans="1:12" ht="12.75">
      <c r="A5" s="674"/>
      <c r="B5" s="674"/>
      <c r="C5" s="674"/>
      <c r="D5" s="674"/>
      <c r="E5" s="671"/>
      <c r="F5" s="671"/>
      <c r="G5" s="671" t="s">
        <v>464</v>
      </c>
      <c r="H5" s="671" t="s">
        <v>465</v>
      </c>
      <c r="I5" s="671"/>
      <c r="J5" s="671"/>
      <c r="K5" s="671"/>
      <c r="L5" s="671"/>
    </row>
    <row r="6" spans="1:12" ht="12.75">
      <c r="A6" s="674"/>
      <c r="B6" s="674"/>
      <c r="C6" s="674"/>
      <c r="D6" s="674"/>
      <c r="E6" s="671"/>
      <c r="F6" s="671"/>
      <c r="G6" s="671"/>
      <c r="H6" s="671" t="s">
        <v>466</v>
      </c>
      <c r="I6" s="671" t="s">
        <v>467</v>
      </c>
      <c r="J6" s="671" t="s">
        <v>468</v>
      </c>
      <c r="K6" s="671" t="s">
        <v>469</v>
      </c>
      <c r="L6" s="671"/>
    </row>
    <row r="7" spans="1:12" ht="12.75">
      <c r="A7" s="674"/>
      <c r="B7" s="674"/>
      <c r="C7" s="674"/>
      <c r="D7" s="674"/>
      <c r="E7" s="671"/>
      <c r="F7" s="671"/>
      <c r="G7" s="671"/>
      <c r="H7" s="671"/>
      <c r="I7" s="671"/>
      <c r="J7" s="671"/>
      <c r="K7" s="671"/>
      <c r="L7" s="671"/>
    </row>
    <row r="8" spans="1:12" ht="23.25" customHeight="1">
      <c r="A8" s="674"/>
      <c r="B8" s="674"/>
      <c r="C8" s="674"/>
      <c r="D8" s="674"/>
      <c r="E8" s="671"/>
      <c r="F8" s="671"/>
      <c r="G8" s="671"/>
      <c r="H8" s="671"/>
      <c r="I8" s="671"/>
      <c r="J8" s="671"/>
      <c r="K8" s="671"/>
      <c r="L8" s="671"/>
    </row>
    <row r="9" spans="1:12" ht="12.75">
      <c r="A9" s="562">
        <v>1</v>
      </c>
      <c r="B9" s="562">
        <v>2</v>
      </c>
      <c r="C9" s="562">
        <v>3</v>
      </c>
      <c r="D9" s="562">
        <v>4</v>
      </c>
      <c r="E9" s="562">
        <v>5</v>
      </c>
      <c r="F9" s="562">
        <v>6</v>
      </c>
      <c r="G9" s="562">
        <v>7</v>
      </c>
      <c r="H9" s="562">
        <v>8</v>
      </c>
      <c r="I9" s="562">
        <v>9</v>
      </c>
      <c r="J9" s="563">
        <v>10</v>
      </c>
      <c r="K9" s="563">
        <v>11</v>
      </c>
      <c r="L9" s="563">
        <v>12</v>
      </c>
    </row>
    <row r="10" spans="1:12" ht="13.5" thickBot="1">
      <c r="A10" s="663" t="s">
        <v>470</v>
      </c>
      <c r="B10" s="664"/>
      <c r="C10" s="664"/>
      <c r="D10" s="664"/>
      <c r="E10" s="664"/>
      <c r="F10" s="664"/>
      <c r="G10" s="664"/>
      <c r="H10" s="664"/>
      <c r="I10" s="665"/>
      <c r="J10" s="564"/>
      <c r="K10" s="564"/>
      <c r="L10" s="562"/>
    </row>
    <row r="11" spans="1:12" ht="13.5" thickBot="1">
      <c r="A11" s="565" t="s">
        <v>265</v>
      </c>
      <c r="B11" s="566">
        <v>600</v>
      </c>
      <c r="C11" s="566"/>
      <c r="D11" s="566"/>
      <c r="E11" s="566" t="s">
        <v>471</v>
      </c>
      <c r="F11" s="567">
        <f>SUM(F12)</f>
        <v>56364237</v>
      </c>
      <c r="G11" s="567">
        <f aca="true" t="shared" si="0" ref="G11:K12">SUM(G12)</f>
        <v>308000</v>
      </c>
      <c r="H11" s="567">
        <f t="shared" si="0"/>
        <v>308000</v>
      </c>
      <c r="I11" s="567">
        <f t="shared" si="0"/>
        <v>0</v>
      </c>
      <c r="J11" s="567">
        <f t="shared" si="0"/>
        <v>0</v>
      </c>
      <c r="K11" s="568">
        <f t="shared" si="0"/>
        <v>0</v>
      </c>
      <c r="L11" s="569"/>
    </row>
    <row r="12" spans="1:12" ht="12.75">
      <c r="A12" s="572"/>
      <c r="B12" s="572"/>
      <c r="C12" s="572">
        <v>60016</v>
      </c>
      <c r="D12" s="572"/>
      <c r="E12" s="572" t="s">
        <v>472</v>
      </c>
      <c r="F12" s="573">
        <f>SUM(F13+F18)</f>
        <v>56364237</v>
      </c>
      <c r="G12" s="573">
        <f>SUM(G13+G18)</f>
        <v>308000</v>
      </c>
      <c r="H12" s="573">
        <f>SUM(H13+H18)</f>
        <v>308000</v>
      </c>
      <c r="I12" s="573">
        <f t="shared" si="0"/>
        <v>0</v>
      </c>
      <c r="J12" s="573">
        <f t="shared" si="0"/>
        <v>0</v>
      </c>
      <c r="K12" s="573">
        <f t="shared" si="0"/>
        <v>0</v>
      </c>
      <c r="L12" s="574"/>
    </row>
    <row r="13" spans="1:12" ht="22.5">
      <c r="A13" s="575"/>
      <c r="B13" s="575"/>
      <c r="C13" s="575"/>
      <c r="D13" s="576">
        <v>6050</v>
      </c>
      <c r="E13" s="576" t="s">
        <v>473</v>
      </c>
      <c r="F13" s="577">
        <v>54629553</v>
      </c>
      <c r="G13" s="577">
        <f>SUM(G15:G17)</f>
        <v>288000</v>
      </c>
      <c r="H13" s="577">
        <f>SUM(H15:H17)</f>
        <v>288000</v>
      </c>
      <c r="I13" s="577"/>
      <c r="J13" s="578"/>
      <c r="K13" s="578"/>
      <c r="L13" s="574"/>
    </row>
    <row r="14" spans="1:12" ht="12.75">
      <c r="A14" s="575"/>
      <c r="B14" s="575"/>
      <c r="C14" s="575"/>
      <c r="D14" s="576"/>
      <c r="E14" s="576" t="s">
        <v>64</v>
      </c>
      <c r="F14" s="358"/>
      <c r="G14" s="577"/>
      <c r="H14" s="577"/>
      <c r="I14" s="577"/>
      <c r="J14" s="578"/>
      <c r="K14" s="578"/>
      <c r="L14" s="574"/>
    </row>
    <row r="15" spans="1:12" ht="33.75">
      <c r="A15" s="575"/>
      <c r="B15" s="575"/>
      <c r="C15" s="575"/>
      <c r="D15" s="575"/>
      <c r="E15" s="274" t="s">
        <v>361</v>
      </c>
      <c r="F15" s="577">
        <v>3586603</v>
      </c>
      <c r="G15" s="577">
        <f>SUM(H15:K15)</f>
        <v>80000</v>
      </c>
      <c r="H15" s="577">
        <v>80000</v>
      </c>
      <c r="I15" s="577"/>
      <c r="J15" s="578"/>
      <c r="K15" s="578"/>
      <c r="L15" s="579" t="s">
        <v>474</v>
      </c>
    </row>
    <row r="16" spans="1:12" ht="33.75">
      <c r="A16" s="575"/>
      <c r="B16" s="575"/>
      <c r="C16" s="575"/>
      <c r="D16" s="575"/>
      <c r="E16" s="274" t="s">
        <v>475</v>
      </c>
      <c r="F16" s="577">
        <v>7768000</v>
      </c>
      <c r="G16" s="577">
        <f>SUM(H16:K16)</f>
        <v>168000</v>
      </c>
      <c r="H16" s="577">
        <v>168000</v>
      </c>
      <c r="I16" s="577"/>
      <c r="J16" s="578"/>
      <c r="K16" s="578"/>
      <c r="L16" s="579" t="s">
        <v>474</v>
      </c>
    </row>
    <row r="17" spans="1:12" ht="22.5">
      <c r="A17" s="575"/>
      <c r="B17" s="575"/>
      <c r="C17" s="575"/>
      <c r="D17" s="575"/>
      <c r="E17" s="576" t="s">
        <v>476</v>
      </c>
      <c r="F17" s="577">
        <v>40000</v>
      </c>
      <c r="G17" s="577">
        <f>SUM(H17:K17)</f>
        <v>40000</v>
      </c>
      <c r="H17" s="577">
        <v>40000</v>
      </c>
      <c r="I17" s="577"/>
      <c r="J17" s="578"/>
      <c r="K17" s="578"/>
      <c r="L17" s="580" t="s">
        <v>474</v>
      </c>
    </row>
    <row r="18" spans="1:12" ht="22.5">
      <c r="A18" s="575"/>
      <c r="B18" s="575"/>
      <c r="C18" s="575"/>
      <c r="D18" s="576">
        <v>6050</v>
      </c>
      <c r="E18" s="274" t="s">
        <v>364</v>
      </c>
      <c r="F18" s="577">
        <v>1734684</v>
      </c>
      <c r="G18" s="577">
        <f>SUM(H18:K18)</f>
        <v>20000</v>
      </c>
      <c r="H18" s="577">
        <f>SUM(H19)</f>
        <v>20000</v>
      </c>
      <c r="I18" s="577"/>
      <c r="J18" s="578"/>
      <c r="K18" s="578"/>
      <c r="L18" s="580"/>
    </row>
    <row r="19" spans="1:12" ht="23.25" thickBot="1">
      <c r="A19" s="581"/>
      <c r="B19" s="581"/>
      <c r="C19" s="581"/>
      <c r="D19" s="581"/>
      <c r="E19" s="582" t="s">
        <v>477</v>
      </c>
      <c r="F19" s="583">
        <v>20000</v>
      </c>
      <c r="G19" s="583">
        <f>SUM(H19:K19)</f>
        <v>20000</v>
      </c>
      <c r="H19" s="583">
        <v>20000</v>
      </c>
      <c r="I19" s="583"/>
      <c r="J19" s="584"/>
      <c r="K19" s="584"/>
      <c r="L19" s="580" t="s">
        <v>474</v>
      </c>
    </row>
    <row r="20" spans="1:12" ht="23.25" thickBot="1">
      <c r="A20" s="565" t="s">
        <v>275</v>
      </c>
      <c r="B20" s="585">
        <v>900</v>
      </c>
      <c r="C20" s="566"/>
      <c r="D20" s="566"/>
      <c r="E20" s="586" t="s">
        <v>478</v>
      </c>
      <c r="F20" s="587">
        <f aca="true" t="shared" si="1" ref="F20:K20">SUM(F21)</f>
        <v>121054133</v>
      </c>
      <c r="G20" s="587">
        <f>SUM(G21+G34)</f>
        <v>1895400</v>
      </c>
      <c r="H20" s="587">
        <f>SUM(H21)+H34</f>
        <v>200400</v>
      </c>
      <c r="I20" s="587">
        <f t="shared" si="1"/>
        <v>1695000</v>
      </c>
      <c r="J20" s="587">
        <f t="shared" si="1"/>
        <v>0</v>
      </c>
      <c r="K20" s="588">
        <f t="shared" si="1"/>
        <v>0</v>
      </c>
      <c r="L20" s="589"/>
    </row>
    <row r="21" spans="1:12" ht="12.75">
      <c r="A21" s="572"/>
      <c r="B21" s="572"/>
      <c r="C21" s="572">
        <v>90001</v>
      </c>
      <c r="D21" s="572"/>
      <c r="E21" s="590" t="s">
        <v>73</v>
      </c>
      <c r="F21" s="229">
        <f aca="true" t="shared" si="2" ref="F21:K21">SUM(F29+F22)</f>
        <v>121054133</v>
      </c>
      <c r="G21" s="229">
        <f t="shared" si="2"/>
        <v>1749000</v>
      </c>
      <c r="H21" s="229">
        <f t="shared" si="2"/>
        <v>54000</v>
      </c>
      <c r="I21" s="229">
        <f t="shared" si="2"/>
        <v>1695000</v>
      </c>
      <c r="J21" s="229">
        <f t="shared" si="2"/>
        <v>0</v>
      </c>
      <c r="K21" s="229">
        <f t="shared" si="2"/>
        <v>0</v>
      </c>
      <c r="L21" s="591"/>
    </row>
    <row r="22" spans="1:12" ht="22.5">
      <c r="A22" s="575"/>
      <c r="B22" s="575"/>
      <c r="C22" s="575"/>
      <c r="D22" s="576">
        <v>6050</v>
      </c>
      <c r="E22" s="274" t="s">
        <v>340</v>
      </c>
      <c r="F22" s="577">
        <v>119600305</v>
      </c>
      <c r="G22" s="577">
        <f>SUM(G24:G28)</f>
        <v>1710000</v>
      </c>
      <c r="H22" s="577">
        <f>SUM(H24:H28)</f>
        <v>15000</v>
      </c>
      <c r="I22" s="577">
        <f>SUM(I24:I28)</f>
        <v>1695000</v>
      </c>
      <c r="J22" s="577">
        <f>SUM(J24:J28)</f>
        <v>0</v>
      </c>
      <c r="K22" s="577">
        <f>SUM(K24:K28)</f>
        <v>0</v>
      </c>
      <c r="L22" s="591"/>
    </row>
    <row r="23" spans="1:12" ht="12.75">
      <c r="A23" s="575"/>
      <c r="B23" s="575"/>
      <c r="C23" s="575"/>
      <c r="D23" s="576"/>
      <c r="E23" s="576" t="s">
        <v>64</v>
      </c>
      <c r="F23" s="577"/>
      <c r="G23" s="577"/>
      <c r="H23" s="577"/>
      <c r="I23" s="577"/>
      <c r="J23" s="578"/>
      <c r="K23" s="578"/>
      <c r="L23" s="591"/>
    </row>
    <row r="24" spans="1:12" ht="22.5">
      <c r="A24" s="575"/>
      <c r="B24" s="575"/>
      <c r="C24" s="575"/>
      <c r="D24" s="576"/>
      <c r="E24" s="104" t="s">
        <v>479</v>
      </c>
      <c r="F24" s="577">
        <v>99280305</v>
      </c>
      <c r="G24" s="577">
        <f aca="true" t="shared" si="3" ref="G24:G29">SUM(H24:K24)</f>
        <v>1395000</v>
      </c>
      <c r="H24" s="577"/>
      <c r="I24" s="577">
        <v>1395000</v>
      </c>
      <c r="J24" s="578"/>
      <c r="K24" s="578"/>
      <c r="L24" s="579" t="s">
        <v>474</v>
      </c>
    </row>
    <row r="25" spans="1:12" ht="22.5">
      <c r="A25" s="575"/>
      <c r="B25" s="575"/>
      <c r="C25" s="575"/>
      <c r="D25" s="576"/>
      <c r="E25" s="104" t="s">
        <v>347</v>
      </c>
      <c r="F25" s="577">
        <v>1940000</v>
      </c>
      <c r="G25" s="577">
        <f t="shared" si="3"/>
        <v>50000</v>
      </c>
      <c r="H25" s="577">
        <v>5000</v>
      </c>
      <c r="I25" s="577">
        <v>45000</v>
      </c>
      <c r="J25" s="578"/>
      <c r="K25" s="578"/>
      <c r="L25" s="579" t="s">
        <v>474</v>
      </c>
    </row>
    <row r="26" spans="1:12" ht="22.5">
      <c r="A26" s="575"/>
      <c r="B26" s="575"/>
      <c r="C26" s="575"/>
      <c r="D26" s="576"/>
      <c r="E26" s="104" t="s">
        <v>344</v>
      </c>
      <c r="F26" s="577">
        <v>14680000</v>
      </c>
      <c r="G26" s="577">
        <f t="shared" si="3"/>
        <v>165000</v>
      </c>
      <c r="H26" s="577"/>
      <c r="I26" s="577">
        <v>165000</v>
      </c>
      <c r="J26" s="578"/>
      <c r="K26" s="578"/>
      <c r="L26" s="579" t="s">
        <v>474</v>
      </c>
    </row>
    <row r="27" spans="1:12" ht="22.5">
      <c r="A27" s="575"/>
      <c r="B27" s="575"/>
      <c r="C27" s="575"/>
      <c r="D27" s="576"/>
      <c r="E27" s="104" t="s">
        <v>345</v>
      </c>
      <c r="F27" s="577">
        <v>3400000</v>
      </c>
      <c r="G27" s="577">
        <f t="shared" si="3"/>
        <v>50000</v>
      </c>
      <c r="H27" s="577">
        <v>5000</v>
      </c>
      <c r="I27" s="577">
        <v>45000</v>
      </c>
      <c r="J27" s="578"/>
      <c r="K27" s="578"/>
      <c r="L27" s="579" t="s">
        <v>474</v>
      </c>
    </row>
    <row r="28" spans="1:12" ht="22.5">
      <c r="A28" s="575"/>
      <c r="B28" s="575"/>
      <c r="C28" s="575"/>
      <c r="D28" s="576"/>
      <c r="E28" s="104" t="s">
        <v>348</v>
      </c>
      <c r="F28" s="577">
        <v>50000</v>
      </c>
      <c r="G28" s="577">
        <f t="shared" si="3"/>
        <v>50000</v>
      </c>
      <c r="H28" s="577">
        <v>5000</v>
      </c>
      <c r="I28" s="577">
        <v>45000</v>
      </c>
      <c r="J28" s="578"/>
      <c r="K28" s="578"/>
      <c r="L28" s="579" t="s">
        <v>474</v>
      </c>
    </row>
    <row r="29" spans="1:12" ht="22.5">
      <c r="A29" s="575"/>
      <c r="B29" s="575"/>
      <c r="C29" s="575"/>
      <c r="D29" s="576">
        <v>6050</v>
      </c>
      <c r="E29" s="274" t="s">
        <v>480</v>
      </c>
      <c r="F29" s="577">
        <v>1453828</v>
      </c>
      <c r="G29" s="577">
        <f t="shared" si="3"/>
        <v>39000</v>
      </c>
      <c r="H29" s="577">
        <f>SUM(H31:H33)</f>
        <v>39000</v>
      </c>
      <c r="I29" s="577">
        <f>SUM(I31:I32)</f>
        <v>0</v>
      </c>
      <c r="J29" s="577">
        <f>SUM(J31:J32)</f>
        <v>0</v>
      </c>
      <c r="K29" s="577">
        <f>SUM(K31:K32)</f>
        <v>0</v>
      </c>
      <c r="L29" s="574"/>
    </row>
    <row r="30" spans="1:12" ht="12.75">
      <c r="A30" s="575"/>
      <c r="B30" s="575"/>
      <c r="C30" s="575"/>
      <c r="D30" s="576"/>
      <c r="E30" s="576" t="s">
        <v>64</v>
      </c>
      <c r="F30" s="577"/>
      <c r="G30" s="577"/>
      <c r="H30" s="577"/>
      <c r="I30" s="577"/>
      <c r="J30" s="578"/>
      <c r="K30" s="578"/>
      <c r="L30" s="574"/>
    </row>
    <row r="31" spans="1:12" ht="22.5">
      <c r="A31" s="575"/>
      <c r="B31" s="592"/>
      <c r="C31" s="575"/>
      <c r="D31" s="576"/>
      <c r="E31" s="274" t="s">
        <v>376</v>
      </c>
      <c r="F31" s="577">
        <v>353000</v>
      </c>
      <c r="G31" s="577">
        <f>SUM(H31:K31)</f>
        <v>17000</v>
      </c>
      <c r="H31" s="577">
        <v>17000</v>
      </c>
      <c r="I31" s="577"/>
      <c r="J31" s="578"/>
      <c r="K31" s="578"/>
      <c r="L31" s="579" t="s">
        <v>474</v>
      </c>
    </row>
    <row r="32" spans="1:12" ht="33.75">
      <c r="A32" s="575"/>
      <c r="B32" s="592"/>
      <c r="C32" s="575"/>
      <c r="D32" s="576"/>
      <c r="E32" s="274" t="s">
        <v>377</v>
      </c>
      <c r="F32" s="577">
        <v>144000</v>
      </c>
      <c r="G32" s="577">
        <f>SUM(H32:K32)</f>
        <v>7000</v>
      </c>
      <c r="H32" s="577">
        <v>7000</v>
      </c>
      <c r="I32" s="577"/>
      <c r="J32" s="578"/>
      <c r="K32" s="578"/>
      <c r="L32" s="580" t="s">
        <v>474</v>
      </c>
    </row>
    <row r="33" spans="1:12" ht="22.5">
      <c r="A33" s="575"/>
      <c r="B33" s="593"/>
      <c r="C33" s="581"/>
      <c r="D33" s="582"/>
      <c r="E33" s="582" t="s">
        <v>477</v>
      </c>
      <c r="F33" s="583">
        <v>15000</v>
      </c>
      <c r="G33" s="583">
        <f>SUM(H33:K33)</f>
        <v>15000</v>
      </c>
      <c r="H33" s="583">
        <v>15000</v>
      </c>
      <c r="I33" s="583"/>
      <c r="J33" s="584"/>
      <c r="K33" s="584"/>
      <c r="L33" s="580" t="s">
        <v>474</v>
      </c>
    </row>
    <row r="34" spans="1:12" ht="12.75">
      <c r="A34" s="575"/>
      <c r="B34" s="592"/>
      <c r="C34" s="575">
        <v>90095</v>
      </c>
      <c r="D34" s="576"/>
      <c r="E34" s="594" t="s">
        <v>3</v>
      </c>
      <c r="F34" s="595">
        <f>SUM(F35)</f>
        <v>12196789</v>
      </c>
      <c r="G34" s="596">
        <f>SUM(H34:K34)</f>
        <v>146400</v>
      </c>
      <c r="H34" s="595">
        <f>SUM(H35)</f>
        <v>146400</v>
      </c>
      <c r="I34" s="595"/>
      <c r="J34" s="597"/>
      <c r="K34" s="597"/>
      <c r="L34" s="580"/>
    </row>
    <row r="35" spans="1:12" ht="34.5" thickBot="1">
      <c r="A35" s="581"/>
      <c r="B35" s="593"/>
      <c r="C35" s="581"/>
      <c r="D35" s="582">
        <v>6050</v>
      </c>
      <c r="E35" s="477" t="s">
        <v>431</v>
      </c>
      <c r="F35" s="583">
        <v>12196789</v>
      </c>
      <c r="G35" s="583">
        <f>SUM(H35:K35)</f>
        <v>146400</v>
      </c>
      <c r="H35" s="583">
        <v>146400</v>
      </c>
      <c r="I35" s="583"/>
      <c r="J35" s="584"/>
      <c r="K35" s="584"/>
      <c r="L35" s="580" t="s">
        <v>474</v>
      </c>
    </row>
    <row r="36" spans="1:12" ht="13.5" thickBot="1">
      <c r="A36" s="565" t="s">
        <v>481</v>
      </c>
      <c r="B36" s="585">
        <v>921</v>
      </c>
      <c r="C36" s="566"/>
      <c r="D36" s="598"/>
      <c r="E36" s="481" t="s">
        <v>430</v>
      </c>
      <c r="F36" s="587">
        <f aca="true" t="shared" si="4" ref="F36:K36">SUM(F37)</f>
        <v>4408000</v>
      </c>
      <c r="G36" s="587">
        <f t="shared" si="4"/>
        <v>77000</v>
      </c>
      <c r="H36" s="587">
        <f t="shared" si="4"/>
        <v>77000</v>
      </c>
      <c r="I36" s="587">
        <f t="shared" si="4"/>
        <v>0</v>
      </c>
      <c r="J36" s="587">
        <f t="shared" si="4"/>
        <v>0</v>
      </c>
      <c r="K36" s="588">
        <f t="shared" si="4"/>
        <v>0</v>
      </c>
      <c r="L36" s="599"/>
    </row>
    <row r="37" spans="1:12" ht="12.75">
      <c r="A37" s="572"/>
      <c r="B37" s="572"/>
      <c r="C37" s="572">
        <v>92109</v>
      </c>
      <c r="D37" s="600"/>
      <c r="E37" s="265" t="s">
        <v>49</v>
      </c>
      <c r="F37" s="229">
        <f aca="true" t="shared" si="5" ref="F37:K37">SUM(F42+F38)</f>
        <v>4408000</v>
      </c>
      <c r="G37" s="229">
        <f t="shared" si="5"/>
        <v>77000</v>
      </c>
      <c r="H37" s="229">
        <f t="shared" si="5"/>
        <v>77000</v>
      </c>
      <c r="I37" s="229">
        <f t="shared" si="5"/>
        <v>0</v>
      </c>
      <c r="J37" s="229">
        <f t="shared" si="5"/>
        <v>0</v>
      </c>
      <c r="K37" s="229">
        <f t="shared" si="5"/>
        <v>0</v>
      </c>
      <c r="L37" s="574"/>
    </row>
    <row r="38" spans="1:12" ht="12.75">
      <c r="A38" s="575"/>
      <c r="B38" s="575"/>
      <c r="C38" s="575"/>
      <c r="D38" s="576">
        <v>6050</v>
      </c>
      <c r="E38" s="104" t="s">
        <v>379</v>
      </c>
      <c r="F38" s="577">
        <v>1825000</v>
      </c>
      <c r="G38" s="577">
        <f>SUM(H38:K38)</f>
        <v>27000</v>
      </c>
      <c r="H38" s="577">
        <f>SUM(H40:H41)</f>
        <v>27000</v>
      </c>
      <c r="I38" s="577">
        <f>SUM(I40)</f>
        <v>0</v>
      </c>
      <c r="J38" s="577">
        <f>SUM(J40)</f>
        <v>0</v>
      </c>
      <c r="K38" s="577">
        <f>SUM(K40)</f>
        <v>0</v>
      </c>
      <c r="L38" s="574"/>
    </row>
    <row r="39" spans="1:12" ht="12.75">
      <c r="A39" s="575"/>
      <c r="B39" s="575"/>
      <c r="C39" s="575"/>
      <c r="D39" s="576"/>
      <c r="E39" s="576" t="s">
        <v>64</v>
      </c>
      <c r="F39" s="577"/>
      <c r="G39" s="577"/>
      <c r="H39" s="577"/>
      <c r="I39" s="577"/>
      <c r="J39" s="578"/>
      <c r="K39" s="578"/>
      <c r="L39" s="574"/>
    </row>
    <row r="40" spans="1:12" ht="22.5">
      <c r="A40" s="575"/>
      <c r="B40" s="575"/>
      <c r="C40" s="575"/>
      <c r="D40" s="576"/>
      <c r="E40" s="104" t="s">
        <v>382</v>
      </c>
      <c r="F40" s="577">
        <v>312000</v>
      </c>
      <c r="G40" s="577">
        <f>SUM(H40:K40)</f>
        <v>12000</v>
      </c>
      <c r="H40" s="577">
        <v>12000</v>
      </c>
      <c r="I40" s="577"/>
      <c r="J40" s="578"/>
      <c r="K40" s="578"/>
      <c r="L40" s="579" t="s">
        <v>474</v>
      </c>
    </row>
    <row r="41" spans="1:12" ht="22.5">
      <c r="A41" s="581"/>
      <c r="B41" s="581"/>
      <c r="C41" s="581"/>
      <c r="D41" s="582"/>
      <c r="E41" s="582" t="s">
        <v>477</v>
      </c>
      <c r="F41" s="583">
        <v>15000</v>
      </c>
      <c r="G41" s="577">
        <f>SUM(H41:K41)</f>
        <v>15000</v>
      </c>
      <c r="H41" s="583">
        <v>15000</v>
      </c>
      <c r="I41" s="583"/>
      <c r="J41" s="584"/>
      <c r="K41" s="584"/>
      <c r="L41" s="579" t="s">
        <v>474</v>
      </c>
    </row>
    <row r="42" spans="1:12" ht="23.25" thickBot="1">
      <c r="A42" s="581"/>
      <c r="B42" s="581"/>
      <c r="C42" s="581"/>
      <c r="D42" s="582">
        <v>6050</v>
      </c>
      <c r="E42" s="477" t="s">
        <v>385</v>
      </c>
      <c r="F42" s="583">
        <v>2583000</v>
      </c>
      <c r="G42" s="583">
        <f>SUM(H42:K42)</f>
        <v>50000</v>
      </c>
      <c r="H42" s="583">
        <v>50000</v>
      </c>
      <c r="I42" s="583"/>
      <c r="J42" s="584"/>
      <c r="K42" s="584"/>
      <c r="L42" s="579" t="s">
        <v>474</v>
      </c>
    </row>
    <row r="43" spans="1:12" ht="13.5" thickBot="1">
      <c r="A43" s="565" t="s">
        <v>292</v>
      </c>
      <c r="B43" s="566">
        <v>926</v>
      </c>
      <c r="C43" s="566"/>
      <c r="D43" s="598"/>
      <c r="E43" s="246" t="s">
        <v>482</v>
      </c>
      <c r="F43" s="587">
        <f>SUM(F44)</f>
        <v>1558000</v>
      </c>
      <c r="G43" s="587">
        <f aca="true" t="shared" si="6" ref="G43:K44">SUM(G44)</f>
        <v>58000</v>
      </c>
      <c r="H43" s="587">
        <f t="shared" si="6"/>
        <v>58000</v>
      </c>
      <c r="I43" s="587">
        <f t="shared" si="6"/>
        <v>0</v>
      </c>
      <c r="J43" s="587">
        <f t="shared" si="6"/>
        <v>0</v>
      </c>
      <c r="K43" s="588">
        <f t="shared" si="6"/>
        <v>0</v>
      </c>
      <c r="L43" s="569"/>
    </row>
    <row r="44" spans="1:12" ht="12.75">
      <c r="A44" s="572"/>
      <c r="B44" s="572"/>
      <c r="C44" s="572">
        <v>92605</v>
      </c>
      <c r="D44" s="600"/>
      <c r="E44" s="264" t="s">
        <v>70</v>
      </c>
      <c r="F44" s="229">
        <f>SUM(F45)</f>
        <v>1558000</v>
      </c>
      <c r="G44" s="229">
        <f t="shared" si="6"/>
        <v>58000</v>
      </c>
      <c r="H44" s="229">
        <f t="shared" si="6"/>
        <v>58000</v>
      </c>
      <c r="I44" s="229">
        <f t="shared" si="6"/>
        <v>0</v>
      </c>
      <c r="J44" s="229">
        <f t="shared" si="6"/>
        <v>0</v>
      </c>
      <c r="K44" s="229">
        <f t="shared" si="6"/>
        <v>0</v>
      </c>
      <c r="L44" s="574"/>
    </row>
    <row r="45" spans="1:12" ht="12.75">
      <c r="A45" s="575"/>
      <c r="B45" s="575"/>
      <c r="C45" s="575"/>
      <c r="D45" s="576">
        <v>6050</v>
      </c>
      <c r="E45" s="104" t="s">
        <v>386</v>
      </c>
      <c r="F45" s="577">
        <v>1558000</v>
      </c>
      <c r="G45" s="577">
        <f>SUM(H45:K45)</f>
        <v>58000</v>
      </c>
      <c r="H45" s="577">
        <f>SUM(H47:H49)</f>
        <v>58000</v>
      </c>
      <c r="I45" s="577">
        <f>SUM(I47:I49)</f>
        <v>0</v>
      </c>
      <c r="J45" s="577">
        <f>SUM(J47:J49)</f>
        <v>0</v>
      </c>
      <c r="K45" s="577">
        <f>SUM(K47:K49)</f>
        <v>0</v>
      </c>
      <c r="L45" s="574"/>
    </row>
    <row r="46" spans="1:12" ht="12.75">
      <c r="A46" s="575"/>
      <c r="B46" s="575"/>
      <c r="C46" s="575"/>
      <c r="D46" s="576"/>
      <c r="E46" s="576" t="s">
        <v>64</v>
      </c>
      <c r="F46" s="577"/>
      <c r="G46" s="577"/>
      <c r="H46" s="577"/>
      <c r="I46" s="577"/>
      <c r="J46" s="578"/>
      <c r="K46" s="578"/>
      <c r="L46" s="574"/>
    </row>
    <row r="47" spans="1:12" ht="22.5">
      <c r="A47" s="575"/>
      <c r="B47" s="575"/>
      <c r="C47" s="575"/>
      <c r="D47" s="576"/>
      <c r="E47" s="104" t="s">
        <v>483</v>
      </c>
      <c r="F47" s="577">
        <v>520000</v>
      </c>
      <c r="G47" s="577">
        <f>SUM(H47:K47)</f>
        <v>20000</v>
      </c>
      <c r="H47" s="577">
        <v>20000</v>
      </c>
      <c r="I47" s="577"/>
      <c r="J47" s="578"/>
      <c r="K47" s="578"/>
      <c r="L47" s="579" t="s">
        <v>474</v>
      </c>
    </row>
    <row r="48" spans="1:12" ht="22.5">
      <c r="A48" s="575"/>
      <c r="B48" s="575"/>
      <c r="C48" s="575"/>
      <c r="D48" s="576"/>
      <c r="E48" s="104" t="s">
        <v>484</v>
      </c>
      <c r="F48" s="577">
        <v>520000</v>
      </c>
      <c r="G48" s="577">
        <f>SUM(H48:K48)</f>
        <v>20000</v>
      </c>
      <c r="H48" s="577">
        <v>20000</v>
      </c>
      <c r="I48" s="577"/>
      <c r="J48" s="578"/>
      <c r="K48" s="578"/>
      <c r="L48" s="579" t="s">
        <v>474</v>
      </c>
    </row>
    <row r="49" spans="1:12" ht="22.5">
      <c r="A49" s="575"/>
      <c r="B49" s="575"/>
      <c r="C49" s="575"/>
      <c r="D49" s="576"/>
      <c r="E49" s="104" t="s">
        <v>485</v>
      </c>
      <c r="F49" s="577">
        <v>518000</v>
      </c>
      <c r="G49" s="577">
        <f>SUM(H49:K49)</f>
        <v>18000</v>
      </c>
      <c r="H49" s="577">
        <v>18000</v>
      </c>
      <c r="I49" s="577"/>
      <c r="J49" s="578"/>
      <c r="K49" s="578"/>
      <c r="L49" s="579" t="s">
        <v>474</v>
      </c>
    </row>
    <row r="50" spans="1:12" ht="13.5" thickBot="1">
      <c r="A50" s="666" t="s">
        <v>486</v>
      </c>
      <c r="B50" s="667"/>
      <c r="C50" s="667"/>
      <c r="D50" s="667"/>
      <c r="E50" s="667"/>
      <c r="F50" s="601">
        <f aca="true" t="shared" si="7" ref="F50:K50">SUM(F11+F20+F36+F43)</f>
        <v>183384370</v>
      </c>
      <c r="G50" s="601">
        <f t="shared" si="7"/>
        <v>2338400</v>
      </c>
      <c r="H50" s="601">
        <f t="shared" si="7"/>
        <v>643400</v>
      </c>
      <c r="I50" s="601">
        <f t="shared" si="7"/>
        <v>1695000</v>
      </c>
      <c r="J50" s="601">
        <f t="shared" si="7"/>
        <v>0</v>
      </c>
      <c r="K50" s="601">
        <f t="shared" si="7"/>
        <v>0</v>
      </c>
      <c r="L50" s="545"/>
    </row>
    <row r="51" spans="1:12" ht="14.25" thickBot="1" thickTop="1">
      <c r="A51" s="668" t="s">
        <v>487</v>
      </c>
      <c r="B51" s="669"/>
      <c r="C51" s="669"/>
      <c r="D51" s="669"/>
      <c r="E51" s="669"/>
      <c r="F51" s="669"/>
      <c r="G51" s="669"/>
      <c r="H51" s="669"/>
      <c r="I51" s="670"/>
      <c r="J51" s="602"/>
      <c r="K51" s="602"/>
      <c r="L51" s="603"/>
    </row>
    <row r="52" spans="1:12" ht="13.5" thickBot="1">
      <c r="A52" s="604" t="s">
        <v>265</v>
      </c>
      <c r="B52" s="605">
        <v>10</v>
      </c>
      <c r="C52" s="606"/>
      <c r="D52" s="607"/>
      <c r="E52" s="225" t="s">
        <v>37</v>
      </c>
      <c r="F52" s="608">
        <f aca="true" t="shared" si="8" ref="F52:K52">SUM(F53)</f>
        <v>4698428</v>
      </c>
      <c r="G52" s="608">
        <f t="shared" si="8"/>
        <v>130000</v>
      </c>
      <c r="H52" s="608">
        <f t="shared" si="8"/>
        <v>130000</v>
      </c>
      <c r="I52" s="608">
        <f t="shared" si="8"/>
        <v>0</v>
      </c>
      <c r="J52" s="608">
        <f t="shared" si="8"/>
        <v>0</v>
      </c>
      <c r="K52" s="609">
        <f t="shared" si="8"/>
        <v>0</v>
      </c>
      <c r="L52" s="610"/>
    </row>
    <row r="53" spans="1:12" ht="22.5">
      <c r="A53" s="611"/>
      <c r="B53" s="226"/>
      <c r="C53" s="227">
        <v>1010</v>
      </c>
      <c r="D53" s="612"/>
      <c r="E53" s="188" t="s">
        <v>210</v>
      </c>
      <c r="F53" s="613">
        <f aca="true" t="shared" si="9" ref="F53:K53">SUM(F54:F54)</f>
        <v>4698428</v>
      </c>
      <c r="G53" s="613">
        <f t="shared" si="9"/>
        <v>130000</v>
      </c>
      <c r="H53" s="613">
        <f t="shared" si="9"/>
        <v>130000</v>
      </c>
      <c r="I53" s="613">
        <f t="shared" si="9"/>
        <v>0</v>
      </c>
      <c r="J53" s="613">
        <f t="shared" si="9"/>
        <v>0</v>
      </c>
      <c r="K53" s="613">
        <f t="shared" si="9"/>
        <v>0</v>
      </c>
      <c r="L53" s="614"/>
    </row>
    <row r="54" spans="1:12" ht="34.5" thickBot="1">
      <c r="A54" s="615"/>
      <c r="B54" s="616"/>
      <c r="C54" s="617"/>
      <c r="D54" s="618">
        <v>6050</v>
      </c>
      <c r="E54" s="259" t="s">
        <v>488</v>
      </c>
      <c r="F54" s="278">
        <v>4698428</v>
      </c>
      <c r="G54" s="619">
        <v>130000</v>
      </c>
      <c r="H54" s="619">
        <v>130000</v>
      </c>
      <c r="I54" s="619"/>
      <c r="J54" s="619"/>
      <c r="K54" s="619"/>
      <c r="L54" s="579" t="s">
        <v>474</v>
      </c>
    </row>
    <row r="55" spans="1:12" ht="15.75" thickBot="1">
      <c r="A55" s="620" t="s">
        <v>275</v>
      </c>
      <c r="B55" s="225">
        <v>600</v>
      </c>
      <c r="C55" s="232"/>
      <c r="D55" s="607"/>
      <c r="E55" s="225" t="s">
        <v>26</v>
      </c>
      <c r="F55" s="608">
        <f aca="true" t="shared" si="10" ref="F55:K55">SUM(F56)</f>
        <v>3668687</v>
      </c>
      <c r="G55" s="608">
        <f t="shared" si="10"/>
        <v>2059000</v>
      </c>
      <c r="H55" s="608">
        <f t="shared" si="10"/>
        <v>2059000</v>
      </c>
      <c r="I55" s="608">
        <f t="shared" si="10"/>
        <v>0</v>
      </c>
      <c r="J55" s="608">
        <f t="shared" si="10"/>
        <v>0</v>
      </c>
      <c r="K55" s="609">
        <f t="shared" si="10"/>
        <v>0</v>
      </c>
      <c r="L55" s="610"/>
    </row>
    <row r="56" spans="1:12" ht="12.75">
      <c r="A56" s="611"/>
      <c r="B56" s="621"/>
      <c r="C56" s="184">
        <v>60016</v>
      </c>
      <c r="D56" s="612"/>
      <c r="E56" s="184" t="s">
        <v>212</v>
      </c>
      <c r="F56" s="613">
        <f>SUM(F57:F63)</f>
        <v>3668687</v>
      </c>
      <c r="G56" s="613">
        <f>SUM(G57:G63)</f>
        <v>2059000</v>
      </c>
      <c r="H56" s="613">
        <f>SUM(H57:H63)</f>
        <v>2059000</v>
      </c>
      <c r="I56" s="613">
        <f>SUM(I57:I60)</f>
        <v>0</v>
      </c>
      <c r="J56" s="613">
        <f>SUM(J57:J60)</f>
        <v>0</v>
      </c>
      <c r="K56" s="613">
        <f>SUM(K57:K60)</f>
        <v>0</v>
      </c>
      <c r="L56" s="614"/>
    </row>
    <row r="57" spans="1:12" ht="33.75">
      <c r="A57" s="591"/>
      <c r="B57" s="622"/>
      <c r="C57" s="622"/>
      <c r="D57" s="623">
        <v>6050</v>
      </c>
      <c r="E57" s="237" t="s">
        <v>489</v>
      </c>
      <c r="F57" s="549">
        <v>265722</v>
      </c>
      <c r="G57" s="549">
        <f aca="true" t="shared" si="11" ref="G57:G63">SUM(H57:K57)</f>
        <v>250000</v>
      </c>
      <c r="H57" s="549">
        <v>250000</v>
      </c>
      <c r="I57" s="549"/>
      <c r="J57" s="580"/>
      <c r="K57" s="549"/>
      <c r="L57" s="580" t="s">
        <v>474</v>
      </c>
    </row>
    <row r="58" spans="1:12" ht="22.5">
      <c r="A58" s="591"/>
      <c r="B58" s="622"/>
      <c r="C58" s="622"/>
      <c r="D58" s="623">
        <v>6050</v>
      </c>
      <c r="E58" s="624" t="s">
        <v>490</v>
      </c>
      <c r="F58" s="549">
        <v>2038900</v>
      </c>
      <c r="G58" s="549">
        <f t="shared" si="11"/>
        <v>948000</v>
      </c>
      <c r="H58" s="549">
        <v>948000</v>
      </c>
      <c r="I58" s="549"/>
      <c r="J58" s="580"/>
      <c r="K58" s="549"/>
      <c r="L58" s="580" t="s">
        <v>474</v>
      </c>
    </row>
    <row r="59" spans="1:12" ht="22.5">
      <c r="A59" s="591"/>
      <c r="B59" s="622"/>
      <c r="C59" s="622"/>
      <c r="D59" s="623">
        <v>6050</v>
      </c>
      <c r="E59" s="78" t="s">
        <v>491</v>
      </c>
      <c r="F59" s="549">
        <v>223223</v>
      </c>
      <c r="G59" s="549">
        <f t="shared" si="11"/>
        <v>111000</v>
      </c>
      <c r="H59" s="549">
        <v>111000</v>
      </c>
      <c r="I59" s="549"/>
      <c r="J59" s="580" t="s">
        <v>10</v>
      </c>
      <c r="K59" s="549"/>
      <c r="L59" s="580" t="s">
        <v>474</v>
      </c>
    </row>
    <row r="60" spans="1:12" ht="22.5">
      <c r="A60" s="591"/>
      <c r="B60" s="622"/>
      <c r="C60" s="622"/>
      <c r="D60" s="623">
        <v>6050</v>
      </c>
      <c r="E60" s="78" t="s">
        <v>492</v>
      </c>
      <c r="F60" s="549">
        <v>601232</v>
      </c>
      <c r="G60" s="549">
        <f t="shared" si="11"/>
        <v>390000</v>
      </c>
      <c r="H60" s="549">
        <v>390000</v>
      </c>
      <c r="I60" s="549"/>
      <c r="J60" s="580"/>
      <c r="K60" s="549"/>
      <c r="L60" s="580" t="s">
        <v>474</v>
      </c>
    </row>
    <row r="61" spans="1:12" ht="22.5">
      <c r="A61" s="591"/>
      <c r="B61" s="622"/>
      <c r="C61" s="622"/>
      <c r="D61" s="623">
        <v>6050</v>
      </c>
      <c r="E61" s="78" t="s">
        <v>493</v>
      </c>
      <c r="F61" s="297">
        <v>190000</v>
      </c>
      <c r="G61" s="549">
        <f t="shared" si="11"/>
        <v>20000</v>
      </c>
      <c r="H61" s="549">
        <v>20000</v>
      </c>
      <c r="I61" s="549"/>
      <c r="J61" s="580"/>
      <c r="K61" s="549"/>
      <c r="L61" s="579" t="s">
        <v>474</v>
      </c>
    </row>
    <row r="62" spans="1:12" ht="33.75">
      <c r="A62" s="591"/>
      <c r="B62" s="622"/>
      <c r="C62" s="622"/>
      <c r="D62" s="623">
        <v>6050</v>
      </c>
      <c r="E62" s="78" t="s">
        <v>494</v>
      </c>
      <c r="F62" s="297">
        <v>309610</v>
      </c>
      <c r="G62" s="549">
        <f t="shared" si="11"/>
        <v>300000</v>
      </c>
      <c r="H62" s="549">
        <v>300000</v>
      </c>
      <c r="I62" s="549"/>
      <c r="J62" s="580"/>
      <c r="K62" s="549"/>
      <c r="L62" s="579" t="s">
        <v>474</v>
      </c>
    </row>
    <row r="63" spans="1:12" ht="23.25" thickBot="1">
      <c r="A63" s="625"/>
      <c r="B63" s="626"/>
      <c r="C63" s="626"/>
      <c r="D63" s="627">
        <v>6050</v>
      </c>
      <c r="E63" s="477" t="s">
        <v>495</v>
      </c>
      <c r="F63" s="628">
        <v>40000</v>
      </c>
      <c r="G63" s="628">
        <f t="shared" si="11"/>
        <v>40000</v>
      </c>
      <c r="H63" s="628">
        <v>40000</v>
      </c>
      <c r="I63" s="628"/>
      <c r="J63" s="579"/>
      <c r="K63" s="628"/>
      <c r="L63" s="579" t="s">
        <v>474</v>
      </c>
    </row>
    <row r="64" spans="1:12" ht="13.5" thickBot="1">
      <c r="A64" s="604" t="s">
        <v>289</v>
      </c>
      <c r="B64" s="231">
        <v>700</v>
      </c>
      <c r="C64" s="225"/>
      <c r="D64" s="607"/>
      <c r="E64" s="241" t="s">
        <v>4</v>
      </c>
      <c r="F64" s="608">
        <f aca="true" t="shared" si="12" ref="F64:K64">SUM(F65+F67)</f>
        <v>5876567</v>
      </c>
      <c r="G64" s="608">
        <f t="shared" si="12"/>
        <v>1887374</v>
      </c>
      <c r="H64" s="608">
        <f t="shared" si="12"/>
        <v>1887374</v>
      </c>
      <c r="I64" s="608">
        <f t="shared" si="12"/>
        <v>0</v>
      </c>
      <c r="J64" s="608">
        <f t="shared" si="12"/>
        <v>0</v>
      </c>
      <c r="K64" s="609">
        <f t="shared" si="12"/>
        <v>0</v>
      </c>
      <c r="L64" s="610"/>
    </row>
    <row r="65" spans="1:12" ht="12.75">
      <c r="A65" s="611"/>
      <c r="B65" s="184"/>
      <c r="C65" s="184">
        <v>70005</v>
      </c>
      <c r="D65" s="612"/>
      <c r="E65" s="188" t="s">
        <v>52</v>
      </c>
      <c r="F65" s="613">
        <f aca="true" t="shared" si="13" ref="F65:K65">SUM(F66)</f>
        <v>310000</v>
      </c>
      <c r="G65" s="613">
        <f t="shared" si="13"/>
        <v>310000</v>
      </c>
      <c r="H65" s="613">
        <f t="shared" si="13"/>
        <v>310000</v>
      </c>
      <c r="I65" s="613">
        <f t="shared" si="13"/>
        <v>0</v>
      </c>
      <c r="J65" s="613">
        <f t="shared" si="13"/>
        <v>0</v>
      </c>
      <c r="K65" s="613">
        <f t="shared" si="13"/>
        <v>0</v>
      </c>
      <c r="L65" s="614"/>
    </row>
    <row r="66" spans="1:12" ht="22.5">
      <c r="A66" s="591"/>
      <c r="B66" s="76"/>
      <c r="C66" s="76"/>
      <c r="D66" s="623">
        <v>6060</v>
      </c>
      <c r="E66" s="629" t="s">
        <v>250</v>
      </c>
      <c r="F66" s="549">
        <v>310000</v>
      </c>
      <c r="G66" s="549">
        <f>SUM(H66:K66)</f>
        <v>310000</v>
      </c>
      <c r="H66" s="549">
        <v>310000</v>
      </c>
      <c r="I66" s="549"/>
      <c r="J66" s="549"/>
      <c r="K66" s="549"/>
      <c r="L66" s="579" t="s">
        <v>474</v>
      </c>
    </row>
    <row r="67" spans="1:12" ht="12.75">
      <c r="A67" s="611"/>
      <c r="B67" s="287"/>
      <c r="C67" s="184">
        <v>70095</v>
      </c>
      <c r="D67" s="612"/>
      <c r="E67" s="265" t="s">
        <v>3</v>
      </c>
      <c r="F67" s="613">
        <f>SUM(F68:F69)</f>
        <v>5566567</v>
      </c>
      <c r="G67" s="613">
        <f>SUM(H67:K67)</f>
        <v>1577374</v>
      </c>
      <c r="H67" s="613">
        <f>SUM(H68:H69)</f>
        <v>1577374</v>
      </c>
      <c r="I67" s="613">
        <f>SUM(I69)</f>
        <v>0</v>
      </c>
      <c r="J67" s="613">
        <f>SUM(J69)</f>
        <v>0</v>
      </c>
      <c r="K67" s="614"/>
      <c r="L67" s="549"/>
    </row>
    <row r="68" spans="1:12" ht="22.5">
      <c r="A68" s="615"/>
      <c r="B68" s="192"/>
      <c r="C68" s="250"/>
      <c r="D68" s="627">
        <v>6050</v>
      </c>
      <c r="E68" s="274" t="s">
        <v>443</v>
      </c>
      <c r="F68" s="619">
        <v>26374</v>
      </c>
      <c r="G68" s="549">
        <f>SUM(H68:K68)</f>
        <v>26374</v>
      </c>
      <c r="H68" s="619">
        <v>26374</v>
      </c>
      <c r="I68" s="630"/>
      <c r="J68" s="630"/>
      <c r="K68" s="619"/>
      <c r="L68" s="628"/>
    </row>
    <row r="69" spans="1:12" ht="23.25" thickBot="1">
      <c r="A69" s="625"/>
      <c r="B69" s="626"/>
      <c r="C69" s="626"/>
      <c r="D69" s="627">
        <v>6050</v>
      </c>
      <c r="E69" s="186" t="s">
        <v>496</v>
      </c>
      <c r="F69" s="628">
        <v>5540193</v>
      </c>
      <c r="G69" s="549">
        <f>SUM(H69:K69)</f>
        <v>1551000</v>
      </c>
      <c r="H69" s="628">
        <v>1551000</v>
      </c>
      <c r="I69" s="628"/>
      <c r="J69" s="579"/>
      <c r="K69" s="628"/>
      <c r="L69" s="579" t="s">
        <v>474</v>
      </c>
    </row>
    <row r="70" spans="1:12" ht="13.5" thickBot="1">
      <c r="A70" s="620" t="s">
        <v>292</v>
      </c>
      <c r="B70" s="225">
        <v>750</v>
      </c>
      <c r="C70" s="225"/>
      <c r="D70" s="607"/>
      <c r="E70" s="241" t="s">
        <v>28</v>
      </c>
      <c r="F70" s="608">
        <f>SUM(F71)</f>
        <v>135000</v>
      </c>
      <c r="G70" s="608">
        <f>SUM(G71)</f>
        <v>135000</v>
      </c>
      <c r="H70" s="608">
        <f>SUM(H71)</f>
        <v>135000</v>
      </c>
      <c r="I70" s="608">
        <f>SUM(I71)</f>
        <v>0</v>
      </c>
      <c r="J70" s="608">
        <f>SUM(J71)</f>
        <v>0</v>
      </c>
      <c r="K70" s="631"/>
      <c r="L70" s="610"/>
    </row>
    <row r="71" spans="1:12" ht="22.5">
      <c r="A71" s="611"/>
      <c r="B71" s="184"/>
      <c r="C71" s="184">
        <v>75023</v>
      </c>
      <c r="D71" s="612"/>
      <c r="E71" s="265" t="s">
        <v>29</v>
      </c>
      <c r="F71" s="613">
        <f aca="true" t="shared" si="14" ref="F71:K71">SUM(F72:F72)</f>
        <v>135000</v>
      </c>
      <c r="G71" s="613">
        <f t="shared" si="14"/>
        <v>135000</v>
      </c>
      <c r="H71" s="613">
        <f t="shared" si="14"/>
        <v>135000</v>
      </c>
      <c r="I71" s="613">
        <f t="shared" si="14"/>
        <v>0</v>
      </c>
      <c r="J71" s="613">
        <f t="shared" si="14"/>
        <v>0</v>
      </c>
      <c r="K71" s="613">
        <f t="shared" si="14"/>
        <v>0</v>
      </c>
      <c r="L71" s="614"/>
    </row>
    <row r="72" spans="1:12" ht="23.25" thickBot="1">
      <c r="A72" s="591"/>
      <c r="B72" s="622"/>
      <c r="C72" s="622"/>
      <c r="D72" s="623">
        <v>6060</v>
      </c>
      <c r="E72" s="624" t="s">
        <v>497</v>
      </c>
      <c r="F72" s="549">
        <v>135000</v>
      </c>
      <c r="G72" s="549">
        <f>SUM(H72:K72)</f>
        <v>135000</v>
      </c>
      <c r="H72" s="549">
        <v>135000</v>
      </c>
      <c r="I72" s="549"/>
      <c r="J72" s="580"/>
      <c r="K72" s="549"/>
      <c r="L72" s="579" t="s">
        <v>474</v>
      </c>
    </row>
    <row r="73" spans="1:12" ht="23.25" thickBot="1">
      <c r="A73" s="620" t="s">
        <v>295</v>
      </c>
      <c r="B73" s="246">
        <v>754</v>
      </c>
      <c r="C73" s="246"/>
      <c r="D73" s="607"/>
      <c r="E73" s="187" t="s">
        <v>222</v>
      </c>
      <c r="F73" s="608">
        <f aca="true" t="shared" si="15" ref="F73:J74">SUM(F74)</f>
        <v>1522000</v>
      </c>
      <c r="G73" s="608">
        <f t="shared" si="15"/>
        <v>600000</v>
      </c>
      <c r="H73" s="608">
        <f t="shared" si="15"/>
        <v>600000</v>
      </c>
      <c r="I73" s="608">
        <f t="shared" si="15"/>
        <v>0</v>
      </c>
      <c r="J73" s="608">
        <f t="shared" si="15"/>
        <v>0</v>
      </c>
      <c r="K73" s="631"/>
      <c r="L73" s="610"/>
    </row>
    <row r="74" spans="1:12" ht="12.75">
      <c r="A74" s="611"/>
      <c r="B74" s="287"/>
      <c r="C74" s="184">
        <v>75412</v>
      </c>
      <c r="D74" s="612"/>
      <c r="E74" s="632" t="s">
        <v>17</v>
      </c>
      <c r="F74" s="613">
        <f t="shared" si="15"/>
        <v>1522000</v>
      </c>
      <c r="G74" s="613">
        <f t="shared" si="15"/>
        <v>600000</v>
      </c>
      <c r="H74" s="613">
        <f t="shared" si="15"/>
        <v>600000</v>
      </c>
      <c r="I74" s="613">
        <f t="shared" si="15"/>
        <v>0</v>
      </c>
      <c r="J74" s="613">
        <f t="shared" si="15"/>
        <v>0</v>
      </c>
      <c r="K74" s="614"/>
      <c r="L74" s="614"/>
    </row>
    <row r="75" spans="1:12" ht="23.25" thickBot="1">
      <c r="A75" s="625"/>
      <c r="B75" s="626"/>
      <c r="C75" s="626"/>
      <c r="D75" s="627">
        <v>6050</v>
      </c>
      <c r="E75" s="191" t="s">
        <v>498</v>
      </c>
      <c r="F75" s="628">
        <v>1522000</v>
      </c>
      <c r="G75" s="549">
        <f>SUM(H75:K75)</f>
        <v>600000</v>
      </c>
      <c r="H75" s="628">
        <v>600000</v>
      </c>
      <c r="I75" s="628"/>
      <c r="J75" s="579"/>
      <c r="K75" s="628"/>
      <c r="L75" s="579" t="s">
        <v>474</v>
      </c>
    </row>
    <row r="76" spans="1:12" ht="13.5" thickBot="1">
      <c r="A76" s="620" t="s">
        <v>298</v>
      </c>
      <c r="B76" s="225">
        <v>801</v>
      </c>
      <c r="C76" s="225"/>
      <c r="D76" s="607"/>
      <c r="E76" s="241" t="s">
        <v>5</v>
      </c>
      <c r="F76" s="608">
        <f>SUM(F77)</f>
        <v>3165613</v>
      </c>
      <c r="G76" s="608">
        <f>SUM(G77)</f>
        <v>1434000</v>
      </c>
      <c r="H76" s="608">
        <f>SUM(H77)</f>
        <v>1037000</v>
      </c>
      <c r="I76" s="608">
        <f>SUM(I77)</f>
        <v>0</v>
      </c>
      <c r="J76" s="608">
        <f>SUM(J77)</f>
        <v>397000</v>
      </c>
      <c r="K76" s="631"/>
      <c r="L76" s="610"/>
    </row>
    <row r="77" spans="1:12" ht="12.75">
      <c r="A77" s="611"/>
      <c r="B77" s="184"/>
      <c r="C77" s="184">
        <v>80101</v>
      </c>
      <c r="D77" s="612"/>
      <c r="E77" s="188" t="s">
        <v>225</v>
      </c>
      <c r="F77" s="613">
        <f>SUM(F78:F81)</f>
        <v>3165613</v>
      </c>
      <c r="G77" s="613">
        <f>SUM(G78:G81)</f>
        <v>1434000</v>
      </c>
      <c r="H77" s="613">
        <f>SUM(H78:H81)</f>
        <v>1037000</v>
      </c>
      <c r="I77" s="613">
        <f>SUM(I78:I81)</f>
        <v>0</v>
      </c>
      <c r="J77" s="613">
        <v>397000</v>
      </c>
      <c r="K77" s="614"/>
      <c r="L77" s="614"/>
    </row>
    <row r="78" spans="1:12" ht="22.5">
      <c r="A78" s="591"/>
      <c r="B78" s="622"/>
      <c r="C78" s="622"/>
      <c r="D78" s="623">
        <v>6050</v>
      </c>
      <c r="E78" s="78" t="s">
        <v>499</v>
      </c>
      <c r="F78" s="549">
        <v>1803951</v>
      </c>
      <c r="G78" s="549">
        <f>SUM(H78:K78)</f>
        <v>500000</v>
      </c>
      <c r="H78" s="549">
        <v>500000</v>
      </c>
      <c r="I78" s="549"/>
      <c r="J78" s="580"/>
      <c r="K78" s="549"/>
      <c r="L78" s="580" t="s">
        <v>474</v>
      </c>
    </row>
    <row r="79" spans="1:12" ht="22.5">
      <c r="A79" s="591"/>
      <c r="B79" s="622"/>
      <c r="C79" s="622"/>
      <c r="D79" s="623">
        <v>6050</v>
      </c>
      <c r="E79" s="624" t="s">
        <v>500</v>
      </c>
      <c r="F79" s="549">
        <v>1234980</v>
      </c>
      <c r="G79" s="549">
        <v>888000</v>
      </c>
      <c r="H79" s="549">
        <v>491000</v>
      </c>
      <c r="I79" s="549"/>
      <c r="J79" s="577" t="s">
        <v>501</v>
      </c>
      <c r="K79" s="549"/>
      <c r="L79" s="580" t="s">
        <v>474</v>
      </c>
    </row>
    <row r="80" spans="1:12" ht="22.5">
      <c r="A80" s="591"/>
      <c r="B80" s="622"/>
      <c r="C80" s="622"/>
      <c r="D80" s="623">
        <v>6050</v>
      </c>
      <c r="E80" s="624" t="s">
        <v>502</v>
      </c>
      <c r="F80" s="549">
        <v>50000</v>
      </c>
      <c r="G80" s="549">
        <f>SUM(H80:K80)</f>
        <v>30000</v>
      </c>
      <c r="H80" s="549">
        <v>30000</v>
      </c>
      <c r="I80" s="549"/>
      <c r="J80" s="580"/>
      <c r="K80" s="549"/>
      <c r="L80" s="580" t="s">
        <v>474</v>
      </c>
    </row>
    <row r="81" spans="1:12" ht="23.25" thickBot="1">
      <c r="A81" s="633"/>
      <c r="B81" s="634"/>
      <c r="C81" s="634"/>
      <c r="D81" s="618">
        <v>6050</v>
      </c>
      <c r="E81" s="193" t="s">
        <v>503</v>
      </c>
      <c r="F81" s="619">
        <v>76682</v>
      </c>
      <c r="G81" s="549">
        <f>SUM(H81:K81)</f>
        <v>16000</v>
      </c>
      <c r="H81" s="619">
        <v>16000</v>
      </c>
      <c r="I81" s="619"/>
      <c r="J81" s="635"/>
      <c r="K81" s="619"/>
      <c r="L81" s="579" t="s">
        <v>474</v>
      </c>
    </row>
    <row r="82" spans="1:12" ht="13.5" thickBot="1">
      <c r="A82" s="620" t="s">
        <v>301</v>
      </c>
      <c r="B82" s="246">
        <v>852</v>
      </c>
      <c r="C82" s="246"/>
      <c r="D82" s="607"/>
      <c r="E82" s="481" t="s">
        <v>233</v>
      </c>
      <c r="F82" s="608">
        <f aca="true" t="shared" si="16" ref="F82:J83">SUM(F83)</f>
        <v>12000</v>
      </c>
      <c r="G82" s="608">
        <f t="shared" si="16"/>
        <v>12000</v>
      </c>
      <c r="H82" s="608">
        <f t="shared" si="16"/>
        <v>12000</v>
      </c>
      <c r="I82" s="608">
        <f t="shared" si="16"/>
        <v>0</v>
      </c>
      <c r="J82" s="608">
        <f t="shared" si="16"/>
        <v>0</v>
      </c>
      <c r="K82" s="631"/>
      <c r="L82" s="610"/>
    </row>
    <row r="83" spans="1:12" ht="12.75">
      <c r="A83" s="611"/>
      <c r="B83" s="264"/>
      <c r="C83" s="264">
        <v>85219</v>
      </c>
      <c r="D83" s="612"/>
      <c r="E83" s="265" t="s">
        <v>35</v>
      </c>
      <c r="F83" s="613">
        <f t="shared" si="16"/>
        <v>12000</v>
      </c>
      <c r="G83" s="613">
        <f t="shared" si="16"/>
        <v>12000</v>
      </c>
      <c r="H83" s="613">
        <f t="shared" si="16"/>
        <v>12000</v>
      </c>
      <c r="I83" s="613">
        <f t="shared" si="16"/>
        <v>0</v>
      </c>
      <c r="J83" s="613">
        <f t="shared" si="16"/>
        <v>0</v>
      </c>
      <c r="K83" s="614"/>
      <c r="L83" s="614"/>
    </row>
    <row r="84" spans="1:12" ht="23.25" thickBot="1">
      <c r="A84" s="625"/>
      <c r="B84" s="626"/>
      <c r="C84" s="626"/>
      <c r="D84" s="627">
        <v>6060</v>
      </c>
      <c r="E84" s="186" t="s">
        <v>497</v>
      </c>
      <c r="F84" s="628">
        <v>12000</v>
      </c>
      <c r="G84" s="549">
        <f>SUM(H84:K84)</f>
        <v>12000</v>
      </c>
      <c r="H84" s="628">
        <v>12000</v>
      </c>
      <c r="I84" s="628"/>
      <c r="J84" s="579"/>
      <c r="K84" s="628"/>
      <c r="L84" s="579" t="s">
        <v>504</v>
      </c>
    </row>
    <row r="85" spans="1:12" ht="23.25" thickBot="1">
      <c r="A85" s="620" t="s">
        <v>304</v>
      </c>
      <c r="B85" s="225">
        <v>900</v>
      </c>
      <c r="C85" s="225"/>
      <c r="D85" s="607"/>
      <c r="E85" s="241" t="s">
        <v>229</v>
      </c>
      <c r="F85" s="608">
        <f>SUM(F86+F90+F98)</f>
        <v>6536378</v>
      </c>
      <c r="G85" s="608">
        <f>SUM(G86+G90+G98)</f>
        <v>1389526</v>
      </c>
      <c r="H85" s="608">
        <f>SUM(H86+H90+H98)</f>
        <v>1135526</v>
      </c>
      <c r="I85" s="608">
        <f>SUM(I86+I90+I98)</f>
        <v>0</v>
      </c>
      <c r="J85" s="608">
        <f>SUM(J86+J98)</f>
        <v>254000</v>
      </c>
      <c r="K85" s="631"/>
      <c r="L85" s="610"/>
    </row>
    <row r="86" spans="1:12" ht="12.75">
      <c r="A86" s="636"/>
      <c r="B86" s="184"/>
      <c r="C86" s="184">
        <v>90001</v>
      </c>
      <c r="D86" s="612"/>
      <c r="E86" s="188" t="s">
        <v>73</v>
      </c>
      <c r="F86" s="613">
        <f>SUM(F87:F89)</f>
        <v>453173</v>
      </c>
      <c r="G86" s="613">
        <f>SUM(G87:G89)</f>
        <v>204600</v>
      </c>
      <c r="H86" s="613">
        <f>SUM(H87:H89)</f>
        <v>54600</v>
      </c>
      <c r="I86" s="613">
        <f>SUM(I87:I88)</f>
        <v>0</v>
      </c>
      <c r="J86" s="637">
        <v>150000</v>
      </c>
      <c r="K86" s="614"/>
      <c r="L86" s="614"/>
    </row>
    <row r="87" spans="1:12" ht="22.5">
      <c r="A87" s="638"/>
      <c r="B87" s="622"/>
      <c r="C87" s="622"/>
      <c r="D87" s="623">
        <v>6050</v>
      </c>
      <c r="E87" s="624" t="s">
        <v>277</v>
      </c>
      <c r="F87" s="549">
        <v>294006</v>
      </c>
      <c r="G87" s="549">
        <v>50000</v>
      </c>
      <c r="H87" s="549"/>
      <c r="I87" s="549"/>
      <c r="J87" s="577" t="s">
        <v>505</v>
      </c>
      <c r="K87" s="549"/>
      <c r="L87" s="580" t="s">
        <v>474</v>
      </c>
    </row>
    <row r="88" spans="1:12" ht="22.5">
      <c r="A88" s="638"/>
      <c r="B88" s="622"/>
      <c r="C88" s="622"/>
      <c r="D88" s="623">
        <v>6050</v>
      </c>
      <c r="E88" s="78" t="s">
        <v>506</v>
      </c>
      <c r="F88" s="549">
        <v>107653</v>
      </c>
      <c r="G88" s="549">
        <v>107600</v>
      </c>
      <c r="H88" s="549">
        <v>7600</v>
      </c>
      <c r="I88" s="549"/>
      <c r="J88" s="577" t="s">
        <v>507</v>
      </c>
      <c r="K88" s="549"/>
      <c r="L88" s="580" t="s">
        <v>474</v>
      </c>
    </row>
    <row r="89" spans="1:12" ht="22.5">
      <c r="A89" s="638"/>
      <c r="B89" s="622"/>
      <c r="C89" s="622"/>
      <c r="D89" s="623">
        <v>6050</v>
      </c>
      <c r="E89" s="624" t="s">
        <v>508</v>
      </c>
      <c r="F89" s="549">
        <v>51514</v>
      </c>
      <c r="G89" s="549">
        <v>47000</v>
      </c>
      <c r="H89" s="549">
        <v>47000</v>
      </c>
      <c r="I89" s="549"/>
      <c r="J89" s="577"/>
      <c r="K89" s="549"/>
      <c r="L89" s="580" t="s">
        <v>474</v>
      </c>
    </row>
    <row r="90" spans="1:12" ht="12.75">
      <c r="A90" s="638"/>
      <c r="B90" s="622"/>
      <c r="C90" s="639">
        <v>90015</v>
      </c>
      <c r="D90" s="639"/>
      <c r="E90" s="273" t="s">
        <v>251</v>
      </c>
      <c r="F90" s="640">
        <f>SUM(F91:F97)</f>
        <v>449754</v>
      </c>
      <c r="G90" s="640">
        <f>SUM(G91:G97)</f>
        <v>215000</v>
      </c>
      <c r="H90" s="640">
        <f>SUM(H91:H97)</f>
        <v>215000</v>
      </c>
      <c r="I90" s="640">
        <f>SUM(I91:I96)</f>
        <v>0</v>
      </c>
      <c r="J90" s="640">
        <f>SUM(J91:J96)</f>
        <v>0</v>
      </c>
      <c r="K90" s="640">
        <f>SUM(K91:K96)</f>
        <v>0</v>
      </c>
      <c r="L90" s="641"/>
    </row>
    <row r="91" spans="1:12" ht="22.5">
      <c r="A91" s="638"/>
      <c r="B91" s="622"/>
      <c r="C91" s="622"/>
      <c r="D91" s="623">
        <v>6050</v>
      </c>
      <c r="E91" s="78" t="s">
        <v>509</v>
      </c>
      <c r="F91" s="549">
        <v>19104</v>
      </c>
      <c r="G91" s="549">
        <f aca="true" t="shared" si="17" ref="G91:G97">SUM(H91:K91)</f>
        <v>18000</v>
      </c>
      <c r="H91" s="549">
        <v>18000</v>
      </c>
      <c r="I91" s="549"/>
      <c r="J91" s="577"/>
      <c r="K91" s="549"/>
      <c r="L91" s="580" t="s">
        <v>474</v>
      </c>
    </row>
    <row r="92" spans="1:12" ht="22.5">
      <c r="A92" s="638"/>
      <c r="B92" s="622"/>
      <c r="C92" s="622"/>
      <c r="D92" s="623">
        <v>6050</v>
      </c>
      <c r="E92" s="78" t="s">
        <v>510</v>
      </c>
      <c r="F92" s="549">
        <v>165000</v>
      </c>
      <c r="G92" s="549">
        <f t="shared" si="17"/>
        <v>15000</v>
      </c>
      <c r="H92" s="549">
        <v>15000</v>
      </c>
      <c r="I92" s="549"/>
      <c r="J92" s="577"/>
      <c r="K92" s="549"/>
      <c r="L92" s="579" t="s">
        <v>474</v>
      </c>
    </row>
    <row r="93" spans="1:12" ht="22.5">
      <c r="A93" s="638"/>
      <c r="B93" s="622"/>
      <c r="C93" s="622"/>
      <c r="D93" s="623">
        <v>6050</v>
      </c>
      <c r="E93" s="624" t="s">
        <v>511</v>
      </c>
      <c r="F93" s="549">
        <v>59186</v>
      </c>
      <c r="G93" s="549">
        <f t="shared" si="17"/>
        <v>35000</v>
      </c>
      <c r="H93" s="549">
        <v>35000</v>
      </c>
      <c r="I93" s="549"/>
      <c r="J93" s="577"/>
      <c r="K93" s="549"/>
      <c r="L93" s="579" t="s">
        <v>474</v>
      </c>
    </row>
    <row r="94" spans="1:12" ht="22.5">
      <c r="A94" s="638"/>
      <c r="B94" s="622"/>
      <c r="C94" s="622"/>
      <c r="D94" s="623">
        <v>6050</v>
      </c>
      <c r="E94" s="624" t="s">
        <v>512</v>
      </c>
      <c r="F94" s="549">
        <v>31464</v>
      </c>
      <c r="G94" s="549">
        <f t="shared" si="17"/>
        <v>30000</v>
      </c>
      <c r="H94" s="549">
        <v>30000</v>
      </c>
      <c r="I94" s="549"/>
      <c r="J94" s="577"/>
      <c r="K94" s="549"/>
      <c r="L94" s="579" t="s">
        <v>474</v>
      </c>
    </row>
    <row r="95" spans="1:12" ht="22.5">
      <c r="A95" s="638"/>
      <c r="B95" s="622"/>
      <c r="C95" s="622"/>
      <c r="D95" s="623">
        <v>6050</v>
      </c>
      <c r="E95" s="78" t="s">
        <v>513</v>
      </c>
      <c r="F95" s="549">
        <v>75000</v>
      </c>
      <c r="G95" s="549">
        <f t="shared" si="17"/>
        <v>57000</v>
      </c>
      <c r="H95" s="549">
        <v>57000</v>
      </c>
      <c r="I95" s="549"/>
      <c r="J95" s="577"/>
      <c r="K95" s="549"/>
      <c r="L95" s="579" t="s">
        <v>474</v>
      </c>
    </row>
    <row r="96" spans="1:12" ht="22.5">
      <c r="A96" s="638"/>
      <c r="B96" s="622"/>
      <c r="C96" s="622"/>
      <c r="D96" s="623">
        <v>6050</v>
      </c>
      <c r="E96" s="78" t="s">
        <v>514</v>
      </c>
      <c r="F96" s="549">
        <v>50000</v>
      </c>
      <c r="G96" s="549">
        <f t="shared" si="17"/>
        <v>50000</v>
      </c>
      <c r="H96" s="549">
        <v>50000</v>
      </c>
      <c r="I96" s="549"/>
      <c r="J96" s="577"/>
      <c r="K96" s="549"/>
      <c r="L96" s="579" t="s">
        <v>474</v>
      </c>
    </row>
    <row r="97" spans="1:12" ht="22.5">
      <c r="A97" s="638"/>
      <c r="B97" s="622"/>
      <c r="C97" s="622"/>
      <c r="D97" s="623">
        <v>6050</v>
      </c>
      <c r="E97" s="78" t="s">
        <v>515</v>
      </c>
      <c r="F97" s="549">
        <v>50000</v>
      </c>
      <c r="G97" s="549">
        <f t="shared" si="17"/>
        <v>10000</v>
      </c>
      <c r="H97" s="549">
        <v>10000</v>
      </c>
      <c r="I97" s="549"/>
      <c r="J97" s="577"/>
      <c r="K97" s="549"/>
      <c r="L97" s="579" t="s">
        <v>474</v>
      </c>
    </row>
    <row r="98" spans="1:12" ht="12.75">
      <c r="A98" s="638"/>
      <c r="B98" s="622"/>
      <c r="C98" s="639">
        <v>90095</v>
      </c>
      <c r="D98" s="623"/>
      <c r="E98" s="82" t="s">
        <v>3</v>
      </c>
      <c r="F98" s="640">
        <f>SUM(F99:F106)</f>
        <v>5633451</v>
      </c>
      <c r="G98" s="640">
        <f>SUM(G99:G106)</f>
        <v>969926</v>
      </c>
      <c r="H98" s="640">
        <f>SUM(H99:H106)</f>
        <v>865926</v>
      </c>
      <c r="I98" s="640">
        <f>SUM(I99:I106)</f>
        <v>0</v>
      </c>
      <c r="J98" s="640">
        <v>104000</v>
      </c>
      <c r="K98" s="640">
        <f>SUM(K99:K106)</f>
        <v>0</v>
      </c>
      <c r="L98" s="549"/>
    </row>
    <row r="99" spans="1:12" ht="22.5">
      <c r="A99" s="638"/>
      <c r="B99" s="622"/>
      <c r="C99" s="622"/>
      <c r="D99" s="623">
        <v>6050</v>
      </c>
      <c r="E99" s="78" t="s">
        <v>516</v>
      </c>
      <c r="F99" s="549">
        <v>4093405</v>
      </c>
      <c r="G99" s="549">
        <f aca="true" t="shared" si="18" ref="G99:G105">SUM(H99:K99)</f>
        <v>30000</v>
      </c>
      <c r="H99" s="549">
        <v>30000</v>
      </c>
      <c r="I99" s="549"/>
      <c r="J99" s="580"/>
      <c r="K99" s="549"/>
      <c r="L99" s="580" t="s">
        <v>474</v>
      </c>
    </row>
    <row r="100" spans="1:12" ht="22.5">
      <c r="A100" s="638"/>
      <c r="B100" s="622"/>
      <c r="C100" s="622"/>
      <c r="D100" s="623">
        <v>6050</v>
      </c>
      <c r="E100" s="78" t="s">
        <v>517</v>
      </c>
      <c r="F100" s="549">
        <v>112828</v>
      </c>
      <c r="G100" s="549">
        <f t="shared" si="18"/>
        <v>34000</v>
      </c>
      <c r="H100" s="549">
        <v>34000</v>
      </c>
      <c r="I100" s="549"/>
      <c r="J100" s="580"/>
      <c r="K100" s="549"/>
      <c r="L100" s="580" t="s">
        <v>474</v>
      </c>
    </row>
    <row r="101" spans="1:12" ht="22.5">
      <c r="A101" s="638"/>
      <c r="B101" s="622"/>
      <c r="C101" s="622"/>
      <c r="D101" s="623">
        <v>6050</v>
      </c>
      <c r="E101" s="624" t="s">
        <v>518</v>
      </c>
      <c r="F101" s="549">
        <v>50000</v>
      </c>
      <c r="G101" s="549">
        <f t="shared" si="18"/>
        <v>50000</v>
      </c>
      <c r="H101" s="549">
        <v>50000</v>
      </c>
      <c r="I101" s="549"/>
      <c r="J101" s="580"/>
      <c r="K101" s="549"/>
      <c r="L101" s="580" t="s">
        <v>474</v>
      </c>
    </row>
    <row r="102" spans="1:12" ht="22.5">
      <c r="A102" s="638"/>
      <c r="B102" s="622"/>
      <c r="C102" s="622"/>
      <c r="D102" s="623">
        <v>6050</v>
      </c>
      <c r="E102" s="78" t="s">
        <v>519</v>
      </c>
      <c r="F102" s="549">
        <v>92236</v>
      </c>
      <c r="G102" s="549">
        <f t="shared" si="18"/>
        <v>90126</v>
      </c>
      <c r="H102" s="549">
        <v>90126</v>
      </c>
      <c r="I102" s="549"/>
      <c r="J102" s="580"/>
      <c r="K102" s="549"/>
      <c r="L102" s="579" t="s">
        <v>474</v>
      </c>
    </row>
    <row r="103" spans="1:12" ht="22.5">
      <c r="A103" s="638"/>
      <c r="B103" s="622"/>
      <c r="C103" s="622"/>
      <c r="D103" s="623">
        <v>6050</v>
      </c>
      <c r="E103" s="78" t="s">
        <v>436</v>
      </c>
      <c r="F103" s="549">
        <v>150000</v>
      </c>
      <c r="G103" s="549">
        <v>150000</v>
      </c>
      <c r="H103" s="549">
        <v>46000</v>
      </c>
      <c r="I103" s="549"/>
      <c r="J103" s="577" t="s">
        <v>520</v>
      </c>
      <c r="K103" s="549"/>
      <c r="L103" s="579" t="s">
        <v>474</v>
      </c>
    </row>
    <row r="104" spans="1:12" ht="22.5">
      <c r="A104" s="638"/>
      <c r="B104" s="622"/>
      <c r="C104" s="622"/>
      <c r="D104" s="623">
        <v>6050</v>
      </c>
      <c r="E104" s="624" t="s">
        <v>521</v>
      </c>
      <c r="F104" s="549">
        <v>499182</v>
      </c>
      <c r="G104" s="549">
        <f t="shared" si="18"/>
        <v>450000</v>
      </c>
      <c r="H104" s="549">
        <v>450000</v>
      </c>
      <c r="I104" s="549"/>
      <c r="J104" s="580"/>
      <c r="K104" s="549"/>
      <c r="L104" s="579" t="s">
        <v>474</v>
      </c>
    </row>
    <row r="105" spans="1:12" ht="33.75">
      <c r="A105" s="638"/>
      <c r="B105" s="622"/>
      <c r="C105" s="622"/>
      <c r="D105" s="623">
        <v>6050</v>
      </c>
      <c r="E105" s="191" t="s">
        <v>522</v>
      </c>
      <c r="F105" s="549">
        <v>520000</v>
      </c>
      <c r="G105" s="549">
        <f t="shared" si="18"/>
        <v>50000</v>
      </c>
      <c r="H105" s="549">
        <v>50000</v>
      </c>
      <c r="I105" s="549"/>
      <c r="J105" s="580"/>
      <c r="K105" s="549"/>
      <c r="L105" s="579" t="s">
        <v>474</v>
      </c>
    </row>
    <row r="106" spans="1:12" ht="22.5">
      <c r="A106" s="638"/>
      <c r="B106" s="622"/>
      <c r="C106" s="622"/>
      <c r="D106" s="623">
        <v>6060</v>
      </c>
      <c r="E106" s="78" t="s">
        <v>523</v>
      </c>
      <c r="F106" s="549">
        <v>115800</v>
      </c>
      <c r="G106" s="549">
        <f>SUM(H106:K106)</f>
        <v>115800</v>
      </c>
      <c r="H106" s="549">
        <v>115800</v>
      </c>
      <c r="I106" s="549" t="s">
        <v>10</v>
      </c>
      <c r="J106" s="580"/>
      <c r="K106" s="549"/>
      <c r="L106" s="580" t="s">
        <v>474</v>
      </c>
    </row>
    <row r="107" spans="1:12" ht="13.5" thickBot="1">
      <c r="A107" s="642" t="s">
        <v>524</v>
      </c>
      <c r="B107" s="643">
        <v>921</v>
      </c>
      <c r="C107" s="643"/>
      <c r="D107" s="644"/>
      <c r="E107" s="645" t="s">
        <v>430</v>
      </c>
      <c r="F107" s="646">
        <f aca="true" t="shared" si="19" ref="F107:H108">SUM(F108)</f>
        <v>161000</v>
      </c>
      <c r="G107" s="646">
        <f t="shared" si="19"/>
        <v>150000</v>
      </c>
      <c r="H107" s="646">
        <f t="shared" si="19"/>
        <v>150000</v>
      </c>
      <c r="I107" s="646"/>
      <c r="J107" s="647"/>
      <c r="K107" s="648"/>
      <c r="L107" s="649"/>
    </row>
    <row r="108" spans="1:12" ht="12.75">
      <c r="A108" s="611"/>
      <c r="B108" s="632"/>
      <c r="C108" s="632">
        <v>92109</v>
      </c>
      <c r="D108" s="612"/>
      <c r="E108" s="265" t="s">
        <v>49</v>
      </c>
      <c r="F108" s="613">
        <f t="shared" si="19"/>
        <v>161000</v>
      </c>
      <c r="G108" s="613">
        <f t="shared" si="19"/>
        <v>150000</v>
      </c>
      <c r="H108" s="613">
        <f t="shared" si="19"/>
        <v>150000</v>
      </c>
      <c r="I108" s="613"/>
      <c r="J108" s="637"/>
      <c r="K108" s="613"/>
      <c r="L108" s="579"/>
    </row>
    <row r="109" spans="1:12" ht="22.5">
      <c r="A109" s="591"/>
      <c r="B109" s="623"/>
      <c r="C109" s="623"/>
      <c r="D109" s="623">
        <v>6050</v>
      </c>
      <c r="E109" s="629" t="s">
        <v>525</v>
      </c>
      <c r="F109" s="549">
        <v>161000</v>
      </c>
      <c r="G109" s="628">
        <f>SUM(H109:K109)</f>
        <v>150000</v>
      </c>
      <c r="H109" s="549">
        <v>150000</v>
      </c>
      <c r="I109" s="549"/>
      <c r="J109" s="580"/>
      <c r="K109" s="549"/>
      <c r="L109" s="579" t="s">
        <v>474</v>
      </c>
    </row>
    <row r="110" spans="1:12" ht="13.5" thickBot="1">
      <c r="A110" s="666" t="s">
        <v>526</v>
      </c>
      <c r="B110" s="667"/>
      <c r="C110" s="667"/>
      <c r="D110" s="667"/>
      <c r="E110" s="667"/>
      <c r="F110" s="650">
        <f>SUM(F52+F55+F64+F70+F73+F76+F82+F85+F107)</f>
        <v>25775673</v>
      </c>
      <c r="G110" s="650">
        <f>SUM(G52+G55+G64+G70+G73+G76+G82+G85+G107)</f>
        <v>7796900</v>
      </c>
      <c r="H110" s="650">
        <f>SUM(H52+H55+H64+H70+H73+H76+H82+H85+H107)</f>
        <v>7145900</v>
      </c>
      <c r="I110" s="650">
        <f>SUM(I52+I55+I64+I70+I73+I76+I82+I85)</f>
        <v>0</v>
      </c>
      <c r="J110" s="650">
        <f>SUM(J52+J55+J64+J70+J73+J76+J82+J85)</f>
        <v>651000</v>
      </c>
      <c r="K110" s="650">
        <f>SUM(K52+K55+K64+K70+K73+K76+K82+K85)</f>
        <v>0</v>
      </c>
      <c r="L110" s="579"/>
    </row>
    <row r="111" spans="1:12" ht="13.5" thickTop="1">
      <c r="A111" s="660" t="s">
        <v>527</v>
      </c>
      <c r="B111" s="661"/>
      <c r="C111" s="661"/>
      <c r="D111" s="661"/>
      <c r="E111" s="662"/>
      <c r="F111" s="613">
        <f aca="true" t="shared" si="20" ref="F111:K111">SUM(F50+F110)</f>
        <v>209160043</v>
      </c>
      <c r="G111" s="613">
        <f t="shared" si="20"/>
        <v>10135300</v>
      </c>
      <c r="H111" s="613">
        <f t="shared" si="20"/>
        <v>7789300</v>
      </c>
      <c r="I111" s="613">
        <f t="shared" si="20"/>
        <v>1695000</v>
      </c>
      <c r="J111" s="613">
        <f t="shared" si="20"/>
        <v>651000</v>
      </c>
      <c r="K111" s="613">
        <f t="shared" si="20"/>
        <v>0</v>
      </c>
      <c r="L111" s="651" t="s">
        <v>528</v>
      </c>
    </row>
    <row r="112" spans="1:12" ht="12.75">
      <c r="A112" s="436"/>
      <c r="B112" s="436"/>
      <c r="C112" s="436"/>
      <c r="D112" s="436"/>
      <c r="E112" s="436"/>
      <c r="F112" s="436"/>
      <c r="G112" s="436"/>
      <c r="H112" s="436"/>
      <c r="I112" s="436"/>
      <c r="J112" s="436"/>
      <c r="K112" s="436"/>
      <c r="L112" s="436"/>
    </row>
    <row r="113" spans="1:12" ht="12.75">
      <c r="A113" s="436" t="s">
        <v>529</v>
      </c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</row>
    <row r="114" spans="1:12" ht="12.75">
      <c r="A114" s="436" t="s">
        <v>530</v>
      </c>
      <c r="B114" s="436"/>
      <c r="C114" s="436"/>
      <c r="D114" s="436"/>
      <c r="E114" s="436"/>
      <c r="F114" s="436"/>
      <c r="G114" s="436"/>
      <c r="H114" s="436"/>
      <c r="I114" s="436"/>
      <c r="J114" s="436"/>
      <c r="K114" s="436" t="s">
        <v>10</v>
      </c>
      <c r="L114" s="436"/>
    </row>
    <row r="115" spans="1:12" ht="12.75">
      <c r="A115" s="436" t="s">
        <v>531</v>
      </c>
      <c r="B115" s="436"/>
      <c r="C115" s="436"/>
      <c r="D115" s="436"/>
      <c r="E115" s="436"/>
      <c r="F115" s="436"/>
      <c r="G115" s="436"/>
      <c r="H115" s="436"/>
      <c r="I115" s="436"/>
      <c r="J115" s="436"/>
      <c r="K115" s="436" t="s">
        <v>10</v>
      </c>
      <c r="L115" s="436"/>
    </row>
    <row r="116" spans="1:12" ht="12.75">
      <c r="A116" s="436" t="s">
        <v>532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</row>
  </sheetData>
  <mergeCells count="21">
    <mergeCell ref="A1:E1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11:E111"/>
    <mergeCell ref="A10:I10"/>
    <mergeCell ref="A50:E50"/>
    <mergeCell ref="A51:I51"/>
    <mergeCell ref="A110:E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25390625" style="0" customWidth="1"/>
    <col min="2" max="2" width="4.375" style="0" customWidth="1"/>
    <col min="3" max="3" width="35.125" style="0" customWidth="1"/>
    <col min="4" max="4" width="7.00390625" style="0" customWidth="1"/>
    <col min="5" max="5" width="8.875" style="0" customWidth="1"/>
    <col min="6" max="7" width="8.375" style="0" customWidth="1"/>
    <col min="8" max="8" width="7.75390625" style="0" customWidth="1"/>
    <col min="9" max="9" width="8.00390625" style="0" customWidth="1"/>
    <col min="10" max="10" width="7.875" style="0" customWidth="1"/>
    <col min="11" max="11" width="7.625" style="0" customWidth="1"/>
    <col min="12" max="12" width="7.75390625" style="0" customWidth="1"/>
    <col min="13" max="14" width="7.875" style="0" customWidth="1"/>
    <col min="15" max="15" width="14.875" style="0" customWidth="1"/>
  </cols>
  <sheetData>
    <row r="1" spans="1:3" ht="55.5" customHeight="1">
      <c r="A1" s="675" t="s">
        <v>448</v>
      </c>
      <c r="B1" s="676"/>
      <c r="C1" s="676"/>
    </row>
    <row r="2" spans="1:15" ht="18.75">
      <c r="A2" s="680" t="s">
        <v>404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2"/>
      <c r="N2" s="489"/>
      <c r="O2" s="74"/>
    </row>
    <row r="3" spans="1:15" ht="15">
      <c r="A3" s="74"/>
      <c r="B3" s="74"/>
      <c r="C3" s="74"/>
      <c r="D3" s="74"/>
      <c r="E3" s="677" t="s">
        <v>64</v>
      </c>
      <c r="F3" s="678"/>
      <c r="G3" s="678"/>
      <c r="H3" s="678"/>
      <c r="I3" s="678"/>
      <c r="J3" s="678"/>
      <c r="K3" s="432"/>
      <c r="L3" s="432"/>
      <c r="M3" s="432"/>
      <c r="N3" s="432"/>
      <c r="O3" s="223"/>
    </row>
    <row r="4" spans="1:15" ht="15">
      <c r="A4" s="74"/>
      <c r="B4" s="74"/>
      <c r="C4" s="74"/>
      <c r="D4" s="74"/>
      <c r="E4" s="275"/>
      <c r="F4" s="275"/>
      <c r="G4" s="275"/>
      <c r="H4" s="679"/>
      <c r="I4" s="679"/>
      <c r="J4" s="679"/>
      <c r="K4" s="433"/>
      <c r="L4" s="433"/>
      <c r="M4" s="433"/>
      <c r="N4" s="433"/>
      <c r="O4" s="223"/>
    </row>
    <row r="5" spans="1:15" ht="33">
      <c r="A5" s="486" t="s">
        <v>22</v>
      </c>
      <c r="B5" s="486" t="s">
        <v>149</v>
      </c>
      <c r="C5" s="487" t="s">
        <v>203</v>
      </c>
      <c r="D5" s="487" t="s">
        <v>204</v>
      </c>
      <c r="E5" s="487" t="s">
        <v>205</v>
      </c>
      <c r="F5" s="487" t="s">
        <v>206</v>
      </c>
      <c r="G5" s="487" t="s">
        <v>207</v>
      </c>
      <c r="H5" s="487">
        <v>2007</v>
      </c>
      <c r="I5" s="487">
        <v>2008</v>
      </c>
      <c r="J5" s="487">
        <v>2009</v>
      </c>
      <c r="K5" s="487">
        <v>2010</v>
      </c>
      <c r="L5" s="487">
        <v>2011</v>
      </c>
      <c r="M5" s="487">
        <v>2012</v>
      </c>
      <c r="N5" s="487">
        <v>2013</v>
      </c>
      <c r="O5" s="487" t="s">
        <v>208</v>
      </c>
    </row>
    <row r="6" spans="1:15" ht="13.5" thickBot="1">
      <c r="A6" s="505">
        <v>1</v>
      </c>
      <c r="B6" s="505">
        <v>2</v>
      </c>
      <c r="C6" s="506">
        <v>3</v>
      </c>
      <c r="D6" s="506">
        <v>4</v>
      </c>
      <c r="E6" s="506">
        <v>5</v>
      </c>
      <c r="F6" s="506">
        <v>6</v>
      </c>
      <c r="G6" s="506">
        <v>7</v>
      </c>
      <c r="H6" s="506">
        <v>9</v>
      </c>
      <c r="I6" s="506">
        <v>10</v>
      </c>
      <c r="J6" s="506">
        <v>11</v>
      </c>
      <c r="K6" s="506">
        <v>12</v>
      </c>
      <c r="L6" s="506">
        <v>13</v>
      </c>
      <c r="M6" s="506">
        <v>14</v>
      </c>
      <c r="N6" s="506">
        <v>15</v>
      </c>
      <c r="O6" s="506">
        <v>16</v>
      </c>
    </row>
    <row r="7" spans="1:15" ht="21.75" customHeight="1" thickTop="1">
      <c r="A7" s="507">
        <v>600</v>
      </c>
      <c r="B7" s="508">
        <v>60016</v>
      </c>
      <c r="C7" s="503" t="s">
        <v>352</v>
      </c>
      <c r="D7" s="502" t="s">
        <v>362</v>
      </c>
      <c r="E7" s="509">
        <f aca="true" t="shared" si="0" ref="E7:E62">SUM(F7:G7)</f>
        <v>54629553</v>
      </c>
      <c r="F7" s="509">
        <f>SUM(F8:F19)</f>
        <v>235553</v>
      </c>
      <c r="G7" s="509">
        <f aca="true" t="shared" si="1" ref="G7:G62">SUM(H7:N7)</f>
        <v>54394000</v>
      </c>
      <c r="H7" s="509">
        <f aca="true" t="shared" si="2" ref="H7:N7">SUM(H8:H19)</f>
        <v>288000</v>
      </c>
      <c r="I7" s="509">
        <f t="shared" si="2"/>
        <v>7046000</v>
      </c>
      <c r="J7" s="509">
        <f t="shared" si="2"/>
        <v>20140000</v>
      </c>
      <c r="K7" s="509">
        <f t="shared" si="2"/>
        <v>17480000</v>
      </c>
      <c r="L7" s="509">
        <f t="shared" si="2"/>
        <v>9440000</v>
      </c>
      <c r="M7" s="509">
        <f t="shared" si="2"/>
        <v>0</v>
      </c>
      <c r="N7" s="509">
        <f t="shared" si="2"/>
        <v>0</v>
      </c>
      <c r="O7" s="511" t="s">
        <v>391</v>
      </c>
    </row>
    <row r="8" spans="1:15" ht="47.25" customHeight="1">
      <c r="A8" s="494"/>
      <c r="B8" s="488"/>
      <c r="C8" s="491" t="s">
        <v>411</v>
      </c>
      <c r="D8" s="488" t="s">
        <v>353</v>
      </c>
      <c r="E8" s="102">
        <f t="shared" si="0"/>
        <v>4920000</v>
      </c>
      <c r="F8" s="102"/>
      <c r="G8" s="102">
        <f t="shared" si="1"/>
        <v>4920000</v>
      </c>
      <c r="H8" s="102"/>
      <c r="I8" s="102">
        <v>610000</v>
      </c>
      <c r="J8" s="102">
        <v>2450000</v>
      </c>
      <c r="K8" s="102">
        <v>1860000</v>
      </c>
      <c r="L8" s="102"/>
      <c r="M8" s="102"/>
      <c r="N8" s="102"/>
      <c r="O8" s="488" t="s">
        <v>354</v>
      </c>
    </row>
    <row r="9" spans="1:15" ht="12.75">
      <c r="A9" s="494"/>
      <c r="B9" s="488"/>
      <c r="C9" s="488" t="s">
        <v>355</v>
      </c>
      <c r="D9" s="488" t="s">
        <v>356</v>
      </c>
      <c r="E9" s="102">
        <f t="shared" si="0"/>
        <v>11354750</v>
      </c>
      <c r="F9" s="102">
        <v>84750</v>
      </c>
      <c r="G9" s="102">
        <f t="shared" si="1"/>
        <v>11270000</v>
      </c>
      <c r="H9" s="102"/>
      <c r="I9" s="102">
        <v>980000</v>
      </c>
      <c r="J9" s="102">
        <v>3920000</v>
      </c>
      <c r="K9" s="102">
        <v>3430000</v>
      </c>
      <c r="L9" s="102">
        <v>2940000</v>
      </c>
      <c r="M9" s="102"/>
      <c r="N9" s="102"/>
      <c r="O9" s="488"/>
    </row>
    <row r="10" spans="1:15" ht="12.75">
      <c r="A10" s="494"/>
      <c r="B10" s="488"/>
      <c r="C10" s="488" t="s">
        <v>412</v>
      </c>
      <c r="D10" s="488" t="s">
        <v>357</v>
      </c>
      <c r="E10" s="102">
        <f t="shared" si="0"/>
        <v>1878050</v>
      </c>
      <c r="F10" s="102">
        <v>18050</v>
      </c>
      <c r="G10" s="102">
        <f t="shared" si="1"/>
        <v>1860000</v>
      </c>
      <c r="H10" s="102"/>
      <c r="I10" s="102">
        <v>490000</v>
      </c>
      <c r="J10" s="102">
        <v>1370000</v>
      </c>
      <c r="K10" s="102"/>
      <c r="L10" s="102"/>
      <c r="M10" s="102"/>
      <c r="N10" s="102"/>
      <c r="O10" s="488"/>
    </row>
    <row r="11" spans="1:15" ht="29.25">
      <c r="A11" s="494"/>
      <c r="B11" s="488"/>
      <c r="C11" s="491" t="s">
        <v>358</v>
      </c>
      <c r="D11" s="488" t="s">
        <v>359</v>
      </c>
      <c r="E11" s="102">
        <f t="shared" si="0"/>
        <v>4291000</v>
      </c>
      <c r="F11" s="102">
        <v>21000</v>
      </c>
      <c r="G11" s="102">
        <f t="shared" si="1"/>
        <v>4270000</v>
      </c>
      <c r="H11" s="102"/>
      <c r="I11" s="102">
        <v>550000</v>
      </c>
      <c r="J11" s="102">
        <v>1960000</v>
      </c>
      <c r="K11" s="102">
        <v>1760000</v>
      </c>
      <c r="L11" s="102"/>
      <c r="N11" s="102"/>
      <c r="O11" s="488" t="s">
        <v>392</v>
      </c>
    </row>
    <row r="12" spans="1:15" ht="48.75">
      <c r="A12" s="494"/>
      <c r="B12" s="488"/>
      <c r="C12" s="491" t="s">
        <v>413</v>
      </c>
      <c r="D12" s="488" t="s">
        <v>360</v>
      </c>
      <c r="E12" s="102">
        <f t="shared" si="0"/>
        <v>11927150</v>
      </c>
      <c r="F12" s="102">
        <v>57150</v>
      </c>
      <c r="G12" s="102">
        <f t="shared" si="1"/>
        <v>11870000</v>
      </c>
      <c r="H12" s="102"/>
      <c r="I12" s="102">
        <v>1260000</v>
      </c>
      <c r="J12" s="102">
        <v>4290000</v>
      </c>
      <c r="K12" s="102">
        <v>4290000</v>
      </c>
      <c r="L12" s="102">
        <v>2030000</v>
      </c>
      <c r="M12" s="102"/>
      <c r="N12" s="102"/>
      <c r="O12" s="488" t="s">
        <v>393</v>
      </c>
    </row>
    <row r="13" spans="1:15" ht="19.5">
      <c r="A13" s="494"/>
      <c r="B13" s="488"/>
      <c r="C13" s="491" t="s">
        <v>361</v>
      </c>
      <c r="D13" s="488" t="s">
        <v>414</v>
      </c>
      <c r="E13" s="102">
        <f t="shared" si="0"/>
        <v>3586603</v>
      </c>
      <c r="F13" s="102">
        <v>36603</v>
      </c>
      <c r="G13" s="102">
        <f t="shared" si="1"/>
        <v>3550000</v>
      </c>
      <c r="H13" s="102">
        <v>80000</v>
      </c>
      <c r="I13" s="102">
        <v>490000</v>
      </c>
      <c r="J13" s="102">
        <v>1470000</v>
      </c>
      <c r="K13" s="102">
        <v>1510000</v>
      </c>
      <c r="L13" s="102"/>
      <c r="M13" s="102"/>
      <c r="N13" s="102"/>
      <c r="O13" s="488" t="s">
        <v>394</v>
      </c>
    </row>
    <row r="14" spans="1:15" ht="32.25" customHeight="1">
      <c r="A14" s="494"/>
      <c r="B14" s="488"/>
      <c r="C14" s="491" t="s">
        <v>415</v>
      </c>
      <c r="D14" s="488" t="s">
        <v>362</v>
      </c>
      <c r="E14" s="102">
        <f t="shared" si="0"/>
        <v>7768000</v>
      </c>
      <c r="F14" s="102"/>
      <c r="G14" s="102">
        <f t="shared" si="1"/>
        <v>7768000</v>
      </c>
      <c r="H14" s="102">
        <v>168000</v>
      </c>
      <c r="I14" s="102">
        <v>1900000</v>
      </c>
      <c r="J14" s="102">
        <v>1900000</v>
      </c>
      <c r="K14" s="102">
        <v>1900000</v>
      </c>
      <c r="L14" s="102">
        <v>1900000</v>
      </c>
      <c r="M14" s="102"/>
      <c r="N14" s="102"/>
      <c r="O14" s="488" t="s">
        <v>395</v>
      </c>
    </row>
    <row r="15" spans="1:15" ht="55.5" customHeight="1">
      <c r="A15" s="494"/>
      <c r="B15" s="488"/>
      <c r="C15" s="491" t="s">
        <v>416</v>
      </c>
      <c r="D15" s="488" t="s">
        <v>356</v>
      </c>
      <c r="E15" s="102">
        <f t="shared" si="0"/>
        <v>8064000</v>
      </c>
      <c r="F15" s="102">
        <v>18000</v>
      </c>
      <c r="G15" s="102">
        <f t="shared" si="1"/>
        <v>8046000</v>
      </c>
      <c r="H15" s="102"/>
      <c r="I15" s="102">
        <v>606000</v>
      </c>
      <c r="J15" s="102">
        <v>2480000</v>
      </c>
      <c r="K15" s="102">
        <v>2480000</v>
      </c>
      <c r="L15" s="102">
        <v>2480000</v>
      </c>
      <c r="M15" s="102"/>
      <c r="N15" s="102"/>
      <c r="O15" s="488" t="s">
        <v>396</v>
      </c>
    </row>
    <row r="16" spans="1:15" ht="12.75">
      <c r="A16" s="488"/>
      <c r="B16" s="488"/>
      <c r="C16" s="488" t="s">
        <v>348</v>
      </c>
      <c r="D16" s="488">
        <v>2007</v>
      </c>
      <c r="E16" s="102">
        <f t="shared" si="0"/>
        <v>40000</v>
      </c>
      <c r="F16" s="102"/>
      <c r="G16" s="102">
        <f t="shared" si="1"/>
        <v>40000</v>
      </c>
      <c r="H16" s="102">
        <v>40000</v>
      </c>
      <c r="I16" s="102"/>
      <c r="J16" s="102"/>
      <c r="K16" s="102"/>
      <c r="L16" s="102"/>
      <c r="M16" s="102"/>
      <c r="N16" s="102"/>
      <c r="O16" s="488"/>
    </row>
    <row r="17" spans="1:15" ht="12.75">
      <c r="A17" s="488"/>
      <c r="B17" s="488"/>
      <c r="C17" s="488" t="s">
        <v>349</v>
      </c>
      <c r="D17" s="488">
        <v>2008</v>
      </c>
      <c r="E17" s="102">
        <f t="shared" si="0"/>
        <v>30000</v>
      </c>
      <c r="F17" s="102"/>
      <c r="G17" s="102">
        <f t="shared" si="1"/>
        <v>30000</v>
      </c>
      <c r="H17" s="102"/>
      <c r="I17" s="102">
        <v>30000</v>
      </c>
      <c r="J17" s="102"/>
      <c r="K17" s="102"/>
      <c r="L17" s="102"/>
      <c r="M17" s="102"/>
      <c r="N17" s="102"/>
      <c r="O17" s="488"/>
    </row>
    <row r="18" spans="1:15" ht="12.75">
      <c r="A18" s="488"/>
      <c r="B18" s="488"/>
      <c r="C18" s="488" t="s">
        <v>350</v>
      </c>
      <c r="D18" s="488">
        <v>2008</v>
      </c>
      <c r="E18" s="102">
        <f t="shared" si="0"/>
        <v>50000</v>
      </c>
      <c r="F18" s="488"/>
      <c r="G18" s="102">
        <f t="shared" si="1"/>
        <v>50000</v>
      </c>
      <c r="H18" s="102"/>
      <c r="I18" s="102">
        <v>50000</v>
      </c>
      <c r="J18" s="102"/>
      <c r="K18" s="102"/>
      <c r="L18" s="102"/>
      <c r="M18" s="488"/>
      <c r="N18" s="488"/>
      <c r="O18" s="488"/>
    </row>
    <row r="19" spans="1:15" ht="15" customHeight="1">
      <c r="A19" s="488"/>
      <c r="B19" s="488"/>
      <c r="C19" s="488" t="s">
        <v>351</v>
      </c>
      <c r="D19" s="488" t="s">
        <v>363</v>
      </c>
      <c r="E19" s="102">
        <f t="shared" si="0"/>
        <v>720000</v>
      </c>
      <c r="F19" s="488"/>
      <c r="G19" s="102">
        <f t="shared" si="1"/>
        <v>720000</v>
      </c>
      <c r="H19" s="102"/>
      <c r="I19" s="102">
        <v>80000</v>
      </c>
      <c r="J19" s="102">
        <v>300000</v>
      </c>
      <c r="K19" s="102">
        <v>250000</v>
      </c>
      <c r="L19" s="102">
        <v>90000</v>
      </c>
      <c r="M19" s="488"/>
      <c r="N19" s="488"/>
      <c r="O19" s="488"/>
    </row>
    <row r="20" spans="1:15" ht="13.5" thickBot="1">
      <c r="A20" s="505">
        <v>1</v>
      </c>
      <c r="B20" s="505">
        <v>2</v>
      </c>
      <c r="C20" s="506">
        <v>3</v>
      </c>
      <c r="D20" s="506">
        <v>4</v>
      </c>
      <c r="E20" s="506">
        <v>5</v>
      </c>
      <c r="F20" s="506">
        <v>6</v>
      </c>
      <c r="G20" s="506">
        <v>7</v>
      </c>
      <c r="H20" s="506">
        <v>9</v>
      </c>
      <c r="I20" s="506">
        <v>10</v>
      </c>
      <c r="J20" s="506">
        <v>11</v>
      </c>
      <c r="K20" s="506">
        <v>12</v>
      </c>
      <c r="L20" s="506">
        <v>13</v>
      </c>
      <c r="M20" s="506">
        <v>14</v>
      </c>
      <c r="N20" s="506">
        <v>15</v>
      </c>
      <c r="O20" s="506">
        <v>16</v>
      </c>
    </row>
    <row r="21" spans="1:15" ht="20.25" customHeight="1" thickTop="1">
      <c r="A21" s="501">
        <v>600</v>
      </c>
      <c r="B21" s="502">
        <v>60016</v>
      </c>
      <c r="C21" s="503" t="s">
        <v>364</v>
      </c>
      <c r="D21" s="502" t="s">
        <v>323</v>
      </c>
      <c r="E21" s="504">
        <f t="shared" si="0"/>
        <v>1734684</v>
      </c>
      <c r="F21" s="504">
        <f>SUM(F22:F26)</f>
        <v>14684</v>
      </c>
      <c r="G21" s="504">
        <f t="shared" si="1"/>
        <v>1720000</v>
      </c>
      <c r="H21" s="504">
        <f>SUM(H22:H27)</f>
        <v>20000</v>
      </c>
      <c r="I21" s="504">
        <f>SUM(I22:I27)</f>
        <v>1700000</v>
      </c>
      <c r="J21" s="504">
        <f>SUM(J22:J26)</f>
        <v>0</v>
      </c>
      <c r="K21" s="504">
        <f>SUM(K22:K26)</f>
        <v>0</v>
      </c>
      <c r="L21" s="504">
        <f>SUM(L22:L26)</f>
        <v>0</v>
      </c>
      <c r="M21" s="504">
        <f>SUM(M22:M26)</f>
        <v>0</v>
      </c>
      <c r="N21" s="504">
        <f>SUM(N22:N26)</f>
        <v>0</v>
      </c>
      <c r="O21" s="511" t="s">
        <v>391</v>
      </c>
    </row>
    <row r="22" spans="1:15" ht="15" customHeight="1">
      <c r="A22" s="488"/>
      <c r="B22" s="488"/>
      <c r="C22" s="488" t="s">
        <v>365</v>
      </c>
      <c r="D22" s="100">
        <v>2008</v>
      </c>
      <c r="E22" s="102">
        <f t="shared" si="0"/>
        <v>480000</v>
      </c>
      <c r="F22" s="102"/>
      <c r="G22" s="102">
        <f t="shared" si="1"/>
        <v>480000</v>
      </c>
      <c r="H22" s="102"/>
      <c r="I22" s="102">
        <v>480000</v>
      </c>
      <c r="J22" s="102"/>
      <c r="K22" s="102"/>
      <c r="L22" s="102"/>
      <c r="M22" s="102"/>
      <c r="N22" s="102"/>
      <c r="O22" s="488"/>
    </row>
    <row r="23" spans="1:15" ht="15.75" customHeight="1">
      <c r="A23" s="488"/>
      <c r="B23" s="488"/>
      <c r="C23" s="488" t="s">
        <v>366</v>
      </c>
      <c r="D23" s="100">
        <v>2008</v>
      </c>
      <c r="E23" s="102">
        <f t="shared" si="0"/>
        <v>250000</v>
      </c>
      <c r="F23" s="102"/>
      <c r="G23" s="102">
        <f t="shared" si="1"/>
        <v>250000</v>
      </c>
      <c r="H23" s="102"/>
      <c r="I23" s="102">
        <v>250000</v>
      </c>
      <c r="J23" s="102"/>
      <c r="K23" s="102"/>
      <c r="L23" s="102"/>
      <c r="M23" s="102"/>
      <c r="N23" s="102"/>
      <c r="O23" s="488"/>
    </row>
    <row r="24" spans="1:15" ht="15.75" customHeight="1">
      <c r="A24" s="488"/>
      <c r="B24" s="488"/>
      <c r="C24" s="488" t="s">
        <v>369</v>
      </c>
      <c r="D24" s="100">
        <v>2008</v>
      </c>
      <c r="E24" s="102">
        <f t="shared" si="0"/>
        <v>330000</v>
      </c>
      <c r="F24" s="102"/>
      <c r="G24" s="102">
        <f t="shared" si="1"/>
        <v>330000</v>
      </c>
      <c r="H24" s="102"/>
      <c r="I24" s="102">
        <v>330000</v>
      </c>
      <c r="J24" s="102"/>
      <c r="K24" s="102"/>
      <c r="L24" s="102"/>
      <c r="M24" s="102"/>
      <c r="N24" s="102"/>
      <c r="O24" s="488"/>
    </row>
    <row r="25" spans="1:15" ht="19.5">
      <c r="A25" s="488"/>
      <c r="B25" s="488"/>
      <c r="C25" s="491" t="s">
        <v>367</v>
      </c>
      <c r="D25" s="100">
        <v>2008</v>
      </c>
      <c r="E25" s="102">
        <f t="shared" si="0"/>
        <v>320000</v>
      </c>
      <c r="F25" s="102"/>
      <c r="G25" s="102">
        <f t="shared" si="1"/>
        <v>320000</v>
      </c>
      <c r="H25" s="102"/>
      <c r="I25" s="102">
        <v>320000</v>
      </c>
      <c r="J25" s="102"/>
      <c r="K25" s="102" t="s">
        <v>10</v>
      </c>
      <c r="L25" s="102"/>
      <c r="M25" s="102"/>
      <c r="N25" s="102"/>
      <c r="O25" s="488"/>
    </row>
    <row r="26" spans="1:15" ht="15" customHeight="1">
      <c r="A26" s="488"/>
      <c r="B26" s="488"/>
      <c r="C26" s="488" t="s">
        <v>368</v>
      </c>
      <c r="D26" s="100" t="s">
        <v>370</v>
      </c>
      <c r="E26" s="102">
        <f t="shared" si="0"/>
        <v>334684</v>
      </c>
      <c r="F26" s="102">
        <v>14684</v>
      </c>
      <c r="G26" s="102">
        <f t="shared" si="1"/>
        <v>320000</v>
      </c>
      <c r="H26" s="102"/>
      <c r="I26" s="102">
        <v>320000</v>
      </c>
      <c r="J26" s="102"/>
      <c r="K26" s="102"/>
      <c r="L26" s="102"/>
      <c r="M26" s="102"/>
      <c r="N26" s="102"/>
      <c r="O26" s="488"/>
    </row>
    <row r="27" spans="1:15" ht="15" customHeight="1">
      <c r="A27" s="488"/>
      <c r="B27" s="488"/>
      <c r="C27" s="488" t="s">
        <v>417</v>
      </c>
      <c r="D27" s="100">
        <v>2007</v>
      </c>
      <c r="E27" s="102">
        <f t="shared" si="0"/>
        <v>20000</v>
      </c>
      <c r="F27" s="102"/>
      <c r="G27" s="102">
        <f t="shared" si="1"/>
        <v>20000</v>
      </c>
      <c r="H27" s="102">
        <v>20000</v>
      </c>
      <c r="I27" s="102"/>
      <c r="J27" s="102"/>
      <c r="K27" s="102"/>
      <c r="L27" s="102"/>
      <c r="M27" s="102"/>
      <c r="N27" s="102"/>
      <c r="O27" s="488"/>
    </row>
    <row r="28" spans="1:15" ht="20.25" customHeight="1">
      <c r="A28" s="495">
        <v>600</v>
      </c>
      <c r="B28" s="496">
        <v>60016</v>
      </c>
      <c r="C28" s="492" t="s">
        <v>371</v>
      </c>
      <c r="D28" s="496" t="s">
        <v>372</v>
      </c>
      <c r="E28" s="497">
        <f t="shared" si="0"/>
        <v>4060000</v>
      </c>
      <c r="F28" s="497"/>
      <c r="G28" s="497">
        <f t="shared" si="1"/>
        <v>4060000</v>
      </c>
      <c r="H28" s="497"/>
      <c r="I28" s="497"/>
      <c r="J28" s="497"/>
      <c r="K28" s="497"/>
      <c r="L28" s="497">
        <v>60000</v>
      </c>
      <c r="M28" s="497">
        <v>4000000</v>
      </c>
      <c r="N28" s="497"/>
      <c r="O28" s="511" t="s">
        <v>391</v>
      </c>
    </row>
    <row r="29" spans="1:15" ht="22.5" customHeight="1">
      <c r="A29" s="497">
        <v>600</v>
      </c>
      <c r="B29" s="496">
        <v>60016</v>
      </c>
      <c r="C29" s="492" t="s">
        <v>403</v>
      </c>
      <c r="D29" s="496" t="s">
        <v>372</v>
      </c>
      <c r="E29" s="497">
        <f t="shared" si="0"/>
        <v>2050000</v>
      </c>
      <c r="F29" s="497"/>
      <c r="G29" s="497">
        <f t="shared" si="1"/>
        <v>2050000</v>
      </c>
      <c r="H29" s="497"/>
      <c r="I29" s="497"/>
      <c r="J29" s="497"/>
      <c r="K29" s="497"/>
      <c r="L29" s="497">
        <v>50000</v>
      </c>
      <c r="M29" s="497">
        <v>2000000</v>
      </c>
      <c r="N29" s="497"/>
      <c r="O29" s="511" t="s">
        <v>391</v>
      </c>
    </row>
    <row r="30" spans="1:15" ht="20.25" customHeight="1">
      <c r="A30" s="496">
        <v>600</v>
      </c>
      <c r="B30" s="496">
        <v>60016</v>
      </c>
      <c r="C30" s="492" t="s">
        <v>373</v>
      </c>
      <c r="D30" s="496" t="s">
        <v>372</v>
      </c>
      <c r="E30" s="497">
        <f t="shared" si="0"/>
        <v>2540000</v>
      </c>
      <c r="F30" s="497"/>
      <c r="G30" s="497">
        <f t="shared" si="1"/>
        <v>2540000</v>
      </c>
      <c r="H30" s="497"/>
      <c r="I30" s="497"/>
      <c r="J30" s="497"/>
      <c r="K30" s="497"/>
      <c r="L30" s="497">
        <v>40000</v>
      </c>
      <c r="M30" s="497">
        <v>2500000</v>
      </c>
      <c r="N30" s="497"/>
      <c r="O30" s="511" t="s">
        <v>391</v>
      </c>
    </row>
    <row r="31" spans="1:15" ht="20.25" customHeight="1">
      <c r="A31" s="496">
        <v>600</v>
      </c>
      <c r="B31" s="496">
        <v>60016</v>
      </c>
      <c r="C31" s="492" t="s">
        <v>374</v>
      </c>
      <c r="D31" s="496" t="s">
        <v>372</v>
      </c>
      <c r="E31" s="497">
        <f t="shared" si="0"/>
        <v>880000</v>
      </c>
      <c r="F31" s="497"/>
      <c r="G31" s="497">
        <f t="shared" si="1"/>
        <v>880000</v>
      </c>
      <c r="H31" s="497"/>
      <c r="I31" s="497"/>
      <c r="J31" s="497"/>
      <c r="K31" s="497"/>
      <c r="L31" s="497">
        <v>30000</v>
      </c>
      <c r="M31" s="497">
        <v>850000</v>
      </c>
      <c r="N31" s="497"/>
      <c r="O31" s="511" t="s">
        <v>398</v>
      </c>
    </row>
    <row r="32" spans="1:15" ht="39.75" customHeight="1">
      <c r="A32" s="495">
        <v>900</v>
      </c>
      <c r="B32" s="496">
        <v>90001</v>
      </c>
      <c r="C32" s="492" t="s">
        <v>340</v>
      </c>
      <c r="D32" s="496" t="s">
        <v>343</v>
      </c>
      <c r="E32" s="497">
        <f>SUM(F32:G32)</f>
        <v>122000305</v>
      </c>
      <c r="F32" s="497">
        <f>SUM(F33:F40)</f>
        <v>650305</v>
      </c>
      <c r="G32" s="497">
        <f>SUM(H32:N32)</f>
        <v>121350000</v>
      </c>
      <c r="H32" s="497">
        <f>SUM(H33:H40)</f>
        <v>1710000</v>
      </c>
      <c r="I32" s="497">
        <f aca="true" t="shared" si="3" ref="I32:N32">SUM(I33:I40)</f>
        <v>5300000</v>
      </c>
      <c r="J32" s="497">
        <f t="shared" si="3"/>
        <v>28400000</v>
      </c>
      <c r="K32" s="497">
        <f t="shared" si="3"/>
        <v>28785000</v>
      </c>
      <c r="L32" s="497">
        <f t="shared" si="3"/>
        <v>20000000</v>
      </c>
      <c r="M32" s="497">
        <f t="shared" si="3"/>
        <v>20000000</v>
      </c>
      <c r="N32" s="497">
        <f t="shared" si="3"/>
        <v>17155000</v>
      </c>
      <c r="O32" s="491" t="s">
        <v>399</v>
      </c>
    </row>
    <row r="33" spans="1:15" ht="21" customHeight="1">
      <c r="A33" s="494"/>
      <c r="B33" s="488"/>
      <c r="C33" s="488" t="s">
        <v>418</v>
      </c>
      <c r="D33" s="488" t="s">
        <v>343</v>
      </c>
      <c r="E33" s="102">
        <f>SUM(F33:G33)</f>
        <v>99280305</v>
      </c>
      <c r="F33" s="102">
        <v>600305</v>
      </c>
      <c r="G33" s="102">
        <f>SUM(H33:N33)</f>
        <v>98680000</v>
      </c>
      <c r="H33" s="102">
        <v>1395000</v>
      </c>
      <c r="I33" s="102">
        <v>2180000</v>
      </c>
      <c r="J33" s="102">
        <v>19580000</v>
      </c>
      <c r="K33" s="102">
        <v>19580000</v>
      </c>
      <c r="L33" s="102">
        <v>19580000</v>
      </c>
      <c r="M33" s="102">
        <v>19580000</v>
      </c>
      <c r="N33" s="102">
        <v>16785000</v>
      </c>
      <c r="O33" s="491" t="s">
        <v>400</v>
      </c>
    </row>
    <row r="34" spans="1:15" ht="21" customHeight="1">
      <c r="A34" s="494"/>
      <c r="B34" s="488"/>
      <c r="C34" s="488" t="s">
        <v>347</v>
      </c>
      <c r="D34" s="488" t="s">
        <v>346</v>
      </c>
      <c r="E34" s="102">
        <f>SUM(F34:G34)</f>
        <v>1940000</v>
      </c>
      <c r="F34" s="102"/>
      <c r="G34" s="102">
        <f>SUM(H34:N34)</f>
        <v>1940000</v>
      </c>
      <c r="H34" s="102">
        <v>50000</v>
      </c>
      <c r="I34" s="102">
        <v>960000</v>
      </c>
      <c r="J34" s="102">
        <v>930000</v>
      </c>
      <c r="K34" s="102"/>
      <c r="L34" s="102"/>
      <c r="M34" s="102"/>
      <c r="N34" s="102"/>
      <c r="O34" s="491" t="s">
        <v>401</v>
      </c>
    </row>
    <row r="35" spans="1:15" ht="21" customHeight="1">
      <c r="A35" s="494"/>
      <c r="B35" s="488"/>
      <c r="C35" s="488" t="s">
        <v>344</v>
      </c>
      <c r="D35" s="488" t="s">
        <v>343</v>
      </c>
      <c r="E35" s="102">
        <f aca="true" t="shared" si="4" ref="E35:E40">SUM(F35:G35)</f>
        <v>14680000</v>
      </c>
      <c r="F35" s="102">
        <v>50000</v>
      </c>
      <c r="G35" s="102">
        <f aca="true" t="shared" si="5" ref="G35:G40">SUM(H35:N35)</f>
        <v>14630000</v>
      </c>
      <c r="H35" s="102">
        <v>165000</v>
      </c>
      <c r="I35" s="102">
        <v>980000</v>
      </c>
      <c r="J35" s="102">
        <v>4880000</v>
      </c>
      <c r="K35" s="102">
        <v>8605000</v>
      </c>
      <c r="L35" s="102"/>
      <c r="M35" s="102"/>
      <c r="N35" s="102"/>
      <c r="O35" s="491" t="s">
        <v>402</v>
      </c>
    </row>
    <row r="36" spans="1:15" ht="21" customHeight="1">
      <c r="A36" s="494"/>
      <c r="B36" s="488"/>
      <c r="C36" s="488" t="s">
        <v>345</v>
      </c>
      <c r="D36" s="488" t="s">
        <v>346</v>
      </c>
      <c r="E36" s="102">
        <f t="shared" si="4"/>
        <v>3400000</v>
      </c>
      <c r="F36" s="102"/>
      <c r="G36" s="102">
        <f t="shared" si="5"/>
        <v>3400000</v>
      </c>
      <c r="H36" s="102">
        <v>50000</v>
      </c>
      <c r="I36" s="102">
        <v>930000</v>
      </c>
      <c r="J36" s="102">
        <v>2420000</v>
      </c>
      <c r="K36" s="102"/>
      <c r="L36" s="102"/>
      <c r="M36" s="102"/>
      <c r="N36" s="102"/>
      <c r="O36" s="491" t="s">
        <v>401</v>
      </c>
    </row>
    <row r="37" spans="1:15" ht="21.75" customHeight="1">
      <c r="A37" s="494"/>
      <c r="B37" s="488"/>
      <c r="C37" s="488" t="s">
        <v>348</v>
      </c>
      <c r="D37" s="488" t="s">
        <v>346</v>
      </c>
      <c r="E37" s="102">
        <f t="shared" si="4"/>
        <v>50000</v>
      </c>
      <c r="F37" s="102"/>
      <c r="G37" s="102">
        <f t="shared" si="5"/>
        <v>50000</v>
      </c>
      <c r="H37" s="102">
        <v>50000</v>
      </c>
      <c r="I37" s="102"/>
      <c r="J37" s="102"/>
      <c r="K37" s="102"/>
      <c r="L37" s="102"/>
      <c r="M37" s="102"/>
      <c r="N37" s="102"/>
      <c r="O37" s="491" t="s">
        <v>401</v>
      </c>
    </row>
    <row r="38" spans="1:15" ht="16.5" customHeight="1">
      <c r="A38" s="494"/>
      <c r="B38" s="488"/>
      <c r="C38" s="488" t="s">
        <v>349</v>
      </c>
      <c r="D38" s="488" t="s">
        <v>419</v>
      </c>
      <c r="E38" s="102">
        <f t="shared" si="4"/>
        <v>50000</v>
      </c>
      <c r="F38" s="102"/>
      <c r="G38" s="102">
        <f t="shared" si="5"/>
        <v>50000</v>
      </c>
      <c r="H38" s="102"/>
      <c r="I38" s="102">
        <v>50000</v>
      </c>
      <c r="J38" s="102"/>
      <c r="K38" s="102"/>
      <c r="L38" s="102"/>
      <c r="M38" s="102"/>
      <c r="N38" s="102"/>
      <c r="O38" s="488"/>
    </row>
    <row r="39" spans="1:15" ht="15.75" customHeight="1">
      <c r="A39" s="494"/>
      <c r="B39" s="488"/>
      <c r="C39" s="488" t="s">
        <v>350</v>
      </c>
      <c r="D39" s="488" t="s">
        <v>419</v>
      </c>
      <c r="E39" s="102">
        <f t="shared" si="4"/>
        <v>100000</v>
      </c>
      <c r="F39" s="102"/>
      <c r="G39" s="102">
        <f t="shared" si="5"/>
        <v>100000</v>
      </c>
      <c r="H39" s="102"/>
      <c r="I39" s="102">
        <v>100000</v>
      </c>
      <c r="J39" s="102"/>
      <c r="K39" s="102"/>
      <c r="L39" s="102"/>
      <c r="M39" s="102"/>
      <c r="N39" s="102"/>
      <c r="O39" s="488"/>
    </row>
    <row r="40" spans="1:15" ht="15.75" customHeight="1">
      <c r="A40" s="494"/>
      <c r="B40" s="488"/>
      <c r="C40" s="488" t="s">
        <v>351</v>
      </c>
      <c r="D40" s="488" t="s">
        <v>419</v>
      </c>
      <c r="E40" s="102">
        <f t="shared" si="4"/>
        <v>2500000</v>
      </c>
      <c r="F40" s="102"/>
      <c r="G40" s="102">
        <f t="shared" si="5"/>
        <v>2500000</v>
      </c>
      <c r="H40" s="102"/>
      <c r="I40" s="102">
        <v>100000</v>
      </c>
      <c r="J40" s="102">
        <v>590000</v>
      </c>
      <c r="K40" s="102">
        <v>600000</v>
      </c>
      <c r="L40" s="102">
        <v>420000</v>
      </c>
      <c r="M40" s="102">
        <v>420000</v>
      </c>
      <c r="N40" s="102">
        <v>370000</v>
      </c>
      <c r="O40" s="488"/>
    </row>
    <row r="41" spans="1:15" ht="25.5" customHeight="1">
      <c r="A41" s="496">
        <v>900</v>
      </c>
      <c r="B41" s="496">
        <v>90001</v>
      </c>
      <c r="C41" s="492" t="s">
        <v>420</v>
      </c>
      <c r="D41" s="496" t="s">
        <v>323</v>
      </c>
      <c r="E41" s="497">
        <f t="shared" si="0"/>
        <v>1450828</v>
      </c>
      <c r="F41" s="497">
        <f>SUM(F42:F43)+SUM(F45:F46)</f>
        <v>78828</v>
      </c>
      <c r="G41" s="497">
        <f t="shared" si="1"/>
        <v>1372000</v>
      </c>
      <c r="H41" s="497">
        <f aca="true" t="shared" si="6" ref="H41:N41">SUM(H42:H43)+SUM(H45:H46)</f>
        <v>39000</v>
      </c>
      <c r="I41" s="497">
        <f t="shared" si="6"/>
        <v>1333000</v>
      </c>
      <c r="J41" s="497">
        <f t="shared" si="6"/>
        <v>0</v>
      </c>
      <c r="K41" s="497">
        <f t="shared" si="6"/>
        <v>0</v>
      </c>
      <c r="L41" s="497">
        <f t="shared" si="6"/>
        <v>0</v>
      </c>
      <c r="M41" s="497">
        <f t="shared" si="6"/>
        <v>0</v>
      </c>
      <c r="N41" s="497">
        <f t="shared" si="6"/>
        <v>0</v>
      </c>
      <c r="O41" s="511" t="s">
        <v>391</v>
      </c>
    </row>
    <row r="42" spans="1:15" ht="22.5" customHeight="1">
      <c r="A42" s="488"/>
      <c r="B42" s="488"/>
      <c r="C42" s="491" t="s">
        <v>376</v>
      </c>
      <c r="D42" s="488" t="s">
        <v>375</v>
      </c>
      <c r="E42" s="102">
        <f t="shared" si="0"/>
        <v>353000</v>
      </c>
      <c r="F42" s="102"/>
      <c r="G42" s="102">
        <f t="shared" si="1"/>
        <v>353000</v>
      </c>
      <c r="H42" s="102">
        <v>17000</v>
      </c>
      <c r="I42" s="102">
        <v>336000</v>
      </c>
      <c r="J42" s="102"/>
      <c r="K42" s="102"/>
      <c r="L42" s="102"/>
      <c r="M42" s="102"/>
      <c r="N42" s="102"/>
      <c r="O42" s="488" t="s">
        <v>397</v>
      </c>
    </row>
    <row r="43" spans="1:15" ht="22.5" customHeight="1">
      <c r="A43" s="488"/>
      <c r="B43" s="488"/>
      <c r="C43" s="491" t="s">
        <v>377</v>
      </c>
      <c r="D43" s="488" t="s">
        <v>375</v>
      </c>
      <c r="E43" s="102">
        <f t="shared" si="0"/>
        <v>144000</v>
      </c>
      <c r="F43" s="102"/>
      <c r="G43" s="102">
        <f t="shared" si="1"/>
        <v>144000</v>
      </c>
      <c r="H43" s="102">
        <v>7000</v>
      </c>
      <c r="I43" s="102">
        <v>137000</v>
      </c>
      <c r="J43" s="102"/>
      <c r="K43" s="102"/>
      <c r="L43" s="102"/>
      <c r="M43" s="102"/>
      <c r="N43" s="102"/>
      <c r="O43" s="488" t="s">
        <v>397</v>
      </c>
    </row>
    <row r="44" spans="1:15" ht="13.5" thickBot="1">
      <c r="A44" s="555">
        <v>1</v>
      </c>
      <c r="B44" s="555">
        <v>2</v>
      </c>
      <c r="C44" s="506">
        <v>3</v>
      </c>
      <c r="D44" s="506">
        <v>4</v>
      </c>
      <c r="E44" s="506">
        <v>5</v>
      </c>
      <c r="F44" s="506">
        <v>6</v>
      </c>
      <c r="G44" s="506">
        <v>7</v>
      </c>
      <c r="H44" s="506">
        <v>9</v>
      </c>
      <c r="I44" s="506">
        <v>10</v>
      </c>
      <c r="J44" s="506">
        <v>11</v>
      </c>
      <c r="K44" s="506">
        <v>12</v>
      </c>
      <c r="L44" s="506">
        <v>13</v>
      </c>
      <c r="M44" s="506">
        <v>14</v>
      </c>
      <c r="N44" s="506">
        <v>15</v>
      </c>
      <c r="O44" s="506">
        <v>16</v>
      </c>
    </row>
    <row r="45" spans="1:15" ht="30" thickTop="1">
      <c r="A45" s="488"/>
      <c r="B45" s="488"/>
      <c r="C45" s="491" t="s">
        <v>378</v>
      </c>
      <c r="D45" s="488" t="s">
        <v>375</v>
      </c>
      <c r="E45" s="102">
        <f t="shared" si="0"/>
        <v>938828</v>
      </c>
      <c r="F45" s="102">
        <v>78828</v>
      </c>
      <c r="G45" s="102">
        <f t="shared" si="1"/>
        <v>860000</v>
      </c>
      <c r="H45" s="102"/>
      <c r="I45" s="102">
        <v>860000</v>
      </c>
      <c r="J45" s="102"/>
      <c r="K45" s="102"/>
      <c r="L45" s="102"/>
      <c r="M45" s="102"/>
      <c r="N45" s="102"/>
      <c r="O45" s="488"/>
    </row>
    <row r="46" spans="1:15" ht="15.75" customHeight="1">
      <c r="A46" s="516"/>
      <c r="B46" s="516"/>
      <c r="C46" s="488" t="s">
        <v>421</v>
      </c>
      <c r="D46" s="490">
        <v>2007</v>
      </c>
      <c r="E46" s="102">
        <f t="shared" si="0"/>
        <v>15000</v>
      </c>
      <c r="F46" s="518"/>
      <c r="G46" s="102">
        <f t="shared" si="1"/>
        <v>15000</v>
      </c>
      <c r="H46" s="518">
        <v>15000</v>
      </c>
      <c r="I46" s="518"/>
      <c r="J46" s="518"/>
      <c r="K46" s="518"/>
      <c r="L46" s="518"/>
      <c r="M46" s="518"/>
      <c r="N46" s="518"/>
      <c r="O46" s="516"/>
    </row>
    <row r="47" spans="1:15" ht="58.5">
      <c r="A47" s="519">
        <v>900</v>
      </c>
      <c r="B47" s="519">
        <v>90095</v>
      </c>
      <c r="C47" s="520" t="s">
        <v>431</v>
      </c>
      <c r="D47" s="521" t="s">
        <v>427</v>
      </c>
      <c r="E47" s="497">
        <f t="shared" si="0"/>
        <v>12196789</v>
      </c>
      <c r="F47" s="522">
        <v>50389</v>
      </c>
      <c r="G47" s="497">
        <f t="shared" si="1"/>
        <v>12146400</v>
      </c>
      <c r="H47" s="522">
        <v>146400</v>
      </c>
      <c r="I47" s="522">
        <v>4000000</v>
      </c>
      <c r="J47" s="522">
        <v>4000000</v>
      </c>
      <c r="K47" s="522">
        <v>4000000</v>
      </c>
      <c r="L47" s="522"/>
      <c r="M47" s="522">
        <v>0</v>
      </c>
      <c r="N47" s="522"/>
      <c r="O47" s="517" t="s">
        <v>428</v>
      </c>
    </row>
    <row r="48" spans="1:15" ht="17.25" customHeight="1">
      <c r="A48" s="496">
        <v>921</v>
      </c>
      <c r="B48" s="496">
        <v>92109</v>
      </c>
      <c r="C48" s="496" t="s">
        <v>379</v>
      </c>
      <c r="D48" s="496"/>
      <c r="E48" s="497">
        <f t="shared" si="0"/>
        <v>1840407</v>
      </c>
      <c r="F48" s="497">
        <f>SUM(F49:F54)</f>
        <v>55407</v>
      </c>
      <c r="G48" s="497">
        <f t="shared" si="1"/>
        <v>1785000</v>
      </c>
      <c r="H48" s="497">
        <f>SUM(H49:H54)</f>
        <v>27000</v>
      </c>
      <c r="I48" s="497">
        <f>SUM(I49:I54)</f>
        <v>955000</v>
      </c>
      <c r="J48" s="497">
        <f>SUM(J49:J54)</f>
        <v>803000</v>
      </c>
      <c r="K48" s="497">
        <f>SUM(K49:K53)</f>
        <v>0</v>
      </c>
      <c r="L48" s="497">
        <f>SUM(L49:L53)</f>
        <v>0</v>
      </c>
      <c r="M48" s="497">
        <f>SUM(M49:M53)</f>
        <v>0</v>
      </c>
      <c r="N48" s="497">
        <f>SUM(N49:N53)</f>
        <v>0</v>
      </c>
      <c r="O48" s="511" t="s">
        <v>391</v>
      </c>
    </row>
    <row r="49" spans="1:15" ht="12.75">
      <c r="A49" s="488"/>
      <c r="B49" s="488"/>
      <c r="C49" s="488" t="s">
        <v>380</v>
      </c>
      <c r="D49" s="488" t="s">
        <v>224</v>
      </c>
      <c r="E49" s="102">
        <f t="shared" si="0"/>
        <v>313000</v>
      </c>
      <c r="F49" s="102">
        <v>10000</v>
      </c>
      <c r="G49" s="102">
        <f t="shared" si="1"/>
        <v>303000</v>
      </c>
      <c r="H49" s="102"/>
      <c r="I49" s="102"/>
      <c r="J49" s="102">
        <v>303000</v>
      </c>
      <c r="K49" s="102"/>
      <c r="L49" s="102"/>
      <c r="M49" s="102"/>
      <c r="N49" s="102"/>
      <c r="O49" s="511"/>
    </row>
    <row r="50" spans="1:15" ht="12.75">
      <c r="A50" s="488"/>
      <c r="B50" s="488"/>
      <c r="C50" s="488" t="s">
        <v>422</v>
      </c>
      <c r="D50" s="488" t="s">
        <v>370</v>
      </c>
      <c r="E50" s="102">
        <f t="shared" si="0"/>
        <v>340957</v>
      </c>
      <c r="F50" s="102">
        <v>17957</v>
      </c>
      <c r="G50" s="102">
        <f t="shared" si="1"/>
        <v>323000</v>
      </c>
      <c r="H50" s="102"/>
      <c r="I50" s="102">
        <v>323000</v>
      </c>
      <c r="J50" s="102"/>
      <c r="K50" s="102"/>
      <c r="L50" s="102"/>
      <c r="M50" s="102"/>
      <c r="N50" s="102"/>
      <c r="O50" s="488"/>
    </row>
    <row r="51" spans="1:15" ht="12.75">
      <c r="A51" s="488"/>
      <c r="B51" s="488"/>
      <c r="C51" s="488" t="s">
        <v>381</v>
      </c>
      <c r="D51" s="488" t="s">
        <v>370</v>
      </c>
      <c r="E51" s="102">
        <f t="shared" si="0"/>
        <v>659450</v>
      </c>
      <c r="F51" s="102">
        <v>27450</v>
      </c>
      <c r="G51" s="102">
        <f t="shared" si="1"/>
        <v>632000</v>
      </c>
      <c r="H51" s="102"/>
      <c r="I51" s="102">
        <v>632000</v>
      </c>
      <c r="J51" s="102"/>
      <c r="K51" s="102"/>
      <c r="L51" s="102"/>
      <c r="M51" s="102"/>
      <c r="N51" s="102"/>
      <c r="O51" s="488"/>
    </row>
    <row r="52" spans="1:15" ht="14.25" customHeight="1">
      <c r="A52" s="488"/>
      <c r="B52" s="488"/>
      <c r="C52" s="488" t="s">
        <v>382</v>
      </c>
      <c r="D52" s="488" t="s">
        <v>384</v>
      </c>
      <c r="E52" s="102">
        <f t="shared" si="0"/>
        <v>312000</v>
      </c>
      <c r="F52" s="102"/>
      <c r="G52" s="102">
        <f t="shared" si="1"/>
        <v>312000</v>
      </c>
      <c r="H52" s="102">
        <v>12000</v>
      </c>
      <c r="I52" s="102"/>
      <c r="J52" s="102">
        <v>300000</v>
      </c>
      <c r="K52" s="102"/>
      <c r="L52" s="102"/>
      <c r="M52" s="102" t="s">
        <v>10</v>
      </c>
      <c r="N52" s="102"/>
      <c r="O52" s="488" t="s">
        <v>397</v>
      </c>
    </row>
    <row r="53" spans="1:15" ht="15" customHeight="1">
      <c r="A53" s="488"/>
      <c r="B53" s="488"/>
      <c r="C53" s="488" t="s">
        <v>383</v>
      </c>
      <c r="D53" s="100">
        <v>2009</v>
      </c>
      <c r="E53" s="102">
        <f t="shared" si="0"/>
        <v>200000</v>
      </c>
      <c r="F53" s="102"/>
      <c r="G53" s="102">
        <f t="shared" si="1"/>
        <v>200000</v>
      </c>
      <c r="H53" s="102"/>
      <c r="I53" s="102"/>
      <c r="J53" s="102">
        <v>200000</v>
      </c>
      <c r="K53" s="102"/>
      <c r="L53" s="102"/>
      <c r="M53" s="102"/>
      <c r="N53" s="102"/>
      <c r="O53" s="488"/>
    </row>
    <row r="54" spans="1:15" ht="15" customHeight="1">
      <c r="A54" s="488"/>
      <c r="B54" s="488"/>
      <c r="C54" s="488" t="s">
        <v>423</v>
      </c>
      <c r="D54" s="100">
        <v>2007</v>
      </c>
      <c r="E54" s="102">
        <f t="shared" si="0"/>
        <v>15000</v>
      </c>
      <c r="F54" s="102"/>
      <c r="G54" s="102">
        <f t="shared" si="1"/>
        <v>15000</v>
      </c>
      <c r="H54" s="102">
        <v>15000</v>
      </c>
      <c r="I54" s="102"/>
      <c r="J54" s="102"/>
      <c r="K54" s="102"/>
      <c r="L54" s="102"/>
      <c r="M54" s="102"/>
      <c r="N54" s="102"/>
      <c r="O54" s="488"/>
    </row>
    <row r="55" spans="1:15" ht="18.75">
      <c r="A55" s="496">
        <v>921</v>
      </c>
      <c r="B55" s="496">
        <v>92109</v>
      </c>
      <c r="C55" s="492" t="s">
        <v>385</v>
      </c>
      <c r="D55" s="496" t="s">
        <v>224</v>
      </c>
      <c r="E55" s="497">
        <f t="shared" si="0"/>
        <v>2583000</v>
      </c>
      <c r="F55" s="497">
        <v>33000</v>
      </c>
      <c r="G55" s="497">
        <f t="shared" si="1"/>
        <v>2550000</v>
      </c>
      <c r="H55" s="497">
        <v>50000</v>
      </c>
      <c r="I55" s="497">
        <v>1500000</v>
      </c>
      <c r="J55" s="497">
        <v>1000000</v>
      </c>
      <c r="K55" s="497"/>
      <c r="L55" s="497"/>
      <c r="M55" s="497"/>
      <c r="N55" s="497"/>
      <c r="O55" s="511" t="s">
        <v>391</v>
      </c>
    </row>
    <row r="56" spans="1:15" ht="13.5" customHeight="1">
      <c r="A56" s="496">
        <v>926</v>
      </c>
      <c r="B56" s="496">
        <v>92605</v>
      </c>
      <c r="C56" s="496" t="s">
        <v>386</v>
      </c>
      <c r="D56" s="496" t="s">
        <v>384</v>
      </c>
      <c r="E56" s="497">
        <f t="shared" si="0"/>
        <v>2078000</v>
      </c>
      <c r="F56" s="497"/>
      <c r="G56" s="497">
        <f t="shared" si="1"/>
        <v>2078000</v>
      </c>
      <c r="H56" s="497">
        <f aca="true" t="shared" si="7" ref="H56:N56">SUM(H57:H60)</f>
        <v>58000</v>
      </c>
      <c r="I56" s="497">
        <f t="shared" si="7"/>
        <v>1520000</v>
      </c>
      <c r="J56" s="497">
        <f t="shared" si="7"/>
        <v>500000</v>
      </c>
      <c r="K56" s="497">
        <f t="shared" si="7"/>
        <v>0</v>
      </c>
      <c r="L56" s="497">
        <f t="shared" si="7"/>
        <v>0</v>
      </c>
      <c r="M56" s="497">
        <f t="shared" si="7"/>
        <v>0</v>
      </c>
      <c r="N56" s="497">
        <f t="shared" si="7"/>
        <v>0</v>
      </c>
      <c r="O56" s="488"/>
    </row>
    <row r="57" spans="1:15" ht="12.75">
      <c r="A57" s="488"/>
      <c r="B57" s="488"/>
      <c r="C57" s="488" t="s">
        <v>424</v>
      </c>
      <c r="D57" s="488" t="s">
        <v>387</v>
      </c>
      <c r="E57" s="102">
        <f t="shared" si="0"/>
        <v>520000</v>
      </c>
      <c r="F57" s="102"/>
      <c r="G57" s="102">
        <f t="shared" si="1"/>
        <v>520000</v>
      </c>
      <c r="H57" s="102">
        <v>20000</v>
      </c>
      <c r="I57" s="102"/>
      <c r="J57" s="102">
        <v>500000</v>
      </c>
      <c r="K57" s="102"/>
      <c r="L57" s="102"/>
      <c r="M57" s="102"/>
      <c r="N57" s="102"/>
      <c r="O57" s="488" t="s">
        <v>397</v>
      </c>
    </row>
    <row r="58" spans="1:15" ht="12.75">
      <c r="A58" s="488"/>
      <c r="B58" s="488"/>
      <c r="C58" s="488" t="s">
        <v>425</v>
      </c>
      <c r="D58" s="488" t="s">
        <v>375</v>
      </c>
      <c r="E58" s="102">
        <f t="shared" si="0"/>
        <v>520000</v>
      </c>
      <c r="F58" s="102"/>
      <c r="G58" s="102">
        <f t="shared" si="1"/>
        <v>520000</v>
      </c>
      <c r="H58" s="102">
        <v>20000</v>
      </c>
      <c r="I58" s="102">
        <v>500000</v>
      </c>
      <c r="J58" s="102"/>
      <c r="K58" s="102"/>
      <c r="L58" s="102"/>
      <c r="M58" s="102"/>
      <c r="N58" s="102"/>
      <c r="O58" s="488" t="s">
        <v>397</v>
      </c>
    </row>
    <row r="59" spans="1:15" ht="12.75">
      <c r="A59" s="488"/>
      <c r="B59" s="488"/>
      <c r="C59" s="488" t="s">
        <v>426</v>
      </c>
      <c r="D59" s="488" t="s">
        <v>375</v>
      </c>
      <c r="E59" s="102">
        <f t="shared" si="0"/>
        <v>518000</v>
      </c>
      <c r="F59" s="102"/>
      <c r="G59" s="102">
        <f t="shared" si="1"/>
        <v>518000</v>
      </c>
      <c r="H59" s="102">
        <v>18000</v>
      </c>
      <c r="I59" s="102">
        <v>500000</v>
      </c>
      <c r="J59" s="102"/>
      <c r="K59" s="102"/>
      <c r="L59" s="102"/>
      <c r="M59" s="102"/>
      <c r="N59" s="102"/>
      <c r="O59" s="488" t="s">
        <v>397</v>
      </c>
    </row>
    <row r="60" spans="1:15" ht="12.75">
      <c r="A60" s="488"/>
      <c r="B60" s="488"/>
      <c r="C60" s="488" t="s">
        <v>437</v>
      </c>
      <c r="D60" s="488" t="s">
        <v>438</v>
      </c>
      <c r="E60" s="102">
        <f t="shared" si="0"/>
        <v>520000</v>
      </c>
      <c r="F60" s="102"/>
      <c r="G60" s="102">
        <f t="shared" si="1"/>
        <v>520000</v>
      </c>
      <c r="H60" s="102"/>
      <c r="I60" s="102">
        <v>520000</v>
      </c>
      <c r="J60" s="102"/>
      <c r="K60" s="102"/>
      <c r="L60" s="102"/>
      <c r="M60" s="102"/>
      <c r="N60" s="102"/>
      <c r="O60" s="488" t="s">
        <v>439</v>
      </c>
    </row>
    <row r="61" spans="1:15" ht="18.75">
      <c r="A61" s="496">
        <v>926</v>
      </c>
      <c r="B61" s="496">
        <v>92605</v>
      </c>
      <c r="C61" s="492" t="s">
        <v>388</v>
      </c>
      <c r="D61" s="496" t="s">
        <v>389</v>
      </c>
      <c r="E61" s="497">
        <f t="shared" si="0"/>
        <v>3100000</v>
      </c>
      <c r="F61" s="497"/>
      <c r="G61" s="497">
        <f t="shared" si="1"/>
        <v>3100000</v>
      </c>
      <c r="H61" s="497"/>
      <c r="I61" s="497"/>
      <c r="J61" s="497">
        <v>100000</v>
      </c>
      <c r="K61" s="497">
        <v>1000000</v>
      </c>
      <c r="L61" s="497">
        <v>1000000</v>
      </c>
      <c r="M61" s="497">
        <v>1000000</v>
      </c>
      <c r="N61" s="497"/>
      <c r="O61" s="511" t="s">
        <v>391</v>
      </c>
    </row>
    <row r="62" spans="1:15" ht="12.75">
      <c r="A62" s="488"/>
      <c r="B62" s="488"/>
      <c r="C62" s="510" t="s">
        <v>390</v>
      </c>
      <c r="D62" s="488"/>
      <c r="E62" s="497">
        <f t="shared" si="0"/>
        <v>211143566</v>
      </c>
      <c r="F62" s="102">
        <f>SUM(F7+F21+F28+F29+F30+F31+F32+F41+F47+F48+F55+F56+F61)</f>
        <v>1118166</v>
      </c>
      <c r="G62" s="497">
        <f t="shared" si="1"/>
        <v>210025400</v>
      </c>
      <c r="H62" s="102">
        <f aca="true" t="shared" si="8" ref="H62:N62">SUM(H7+H21+H28+H29+H30+H31+H32+H41+H47+H48+H55+H56+H61)</f>
        <v>2338400</v>
      </c>
      <c r="I62" s="102">
        <f t="shared" si="8"/>
        <v>23354000</v>
      </c>
      <c r="J62" s="102">
        <f t="shared" si="8"/>
        <v>54943000</v>
      </c>
      <c r="K62" s="102">
        <f t="shared" si="8"/>
        <v>51265000</v>
      </c>
      <c r="L62" s="102">
        <f t="shared" si="8"/>
        <v>30620000</v>
      </c>
      <c r="M62" s="102">
        <f t="shared" si="8"/>
        <v>30350000</v>
      </c>
      <c r="N62" s="102">
        <f t="shared" si="8"/>
        <v>17155000</v>
      </c>
      <c r="O62" s="488"/>
    </row>
    <row r="63" spans="1:15" ht="12.75">
      <c r="A63" s="101"/>
      <c r="B63" s="101"/>
      <c r="C63" s="101"/>
      <c r="D63" s="101"/>
      <c r="E63" s="498"/>
      <c r="F63" s="500"/>
      <c r="G63" s="500"/>
      <c r="H63" s="500"/>
      <c r="I63" s="500"/>
      <c r="J63" s="500"/>
      <c r="K63" s="500"/>
      <c r="L63" s="500"/>
      <c r="M63" s="500"/>
      <c r="N63" s="500"/>
      <c r="O63" s="101"/>
    </row>
    <row r="64" spans="1:15" ht="12.75">
      <c r="A64" s="101"/>
      <c r="B64" s="101"/>
      <c r="C64" s="101"/>
      <c r="D64" s="101"/>
      <c r="E64" s="498" t="s">
        <v>10</v>
      </c>
      <c r="F64" s="498"/>
      <c r="G64" s="498"/>
      <c r="H64" s="498"/>
      <c r="I64" s="498"/>
      <c r="J64" s="498" t="s">
        <v>10</v>
      </c>
      <c r="K64" s="498"/>
      <c r="L64" s="498"/>
      <c r="M64" s="498"/>
      <c r="N64" s="498"/>
      <c r="O64" s="101"/>
    </row>
    <row r="65" spans="1:15" ht="12.75">
      <c r="A65" s="101"/>
      <c r="B65" s="101"/>
      <c r="C65" s="101"/>
      <c r="D65" s="101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101"/>
    </row>
    <row r="66" spans="1:15" ht="12.75">
      <c r="A66" s="101"/>
      <c r="B66" s="101"/>
      <c r="C66" s="101"/>
      <c r="D66" s="101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101"/>
    </row>
    <row r="67" spans="5:14" ht="12.75">
      <c r="E67" s="499"/>
      <c r="F67" s="499"/>
      <c r="G67" s="499"/>
      <c r="H67" s="499"/>
      <c r="I67" s="499"/>
      <c r="J67" s="499"/>
      <c r="K67" s="499"/>
      <c r="L67" s="499"/>
      <c r="M67" s="499"/>
      <c r="N67" s="499"/>
    </row>
    <row r="68" spans="5:14" ht="12.75">
      <c r="E68" s="499"/>
      <c r="F68" s="499"/>
      <c r="G68" s="499"/>
      <c r="H68" s="499"/>
      <c r="I68" s="499"/>
      <c r="J68" s="499"/>
      <c r="K68" s="499"/>
      <c r="L68" s="499"/>
      <c r="M68" s="499"/>
      <c r="N68" s="499"/>
    </row>
    <row r="69" spans="5:14" ht="12.75">
      <c r="E69" s="499"/>
      <c r="F69" s="499"/>
      <c r="G69" s="499"/>
      <c r="H69" s="499"/>
      <c r="I69" s="499"/>
      <c r="J69" s="499"/>
      <c r="K69" s="499"/>
      <c r="L69" s="499"/>
      <c r="M69" s="499"/>
      <c r="N69" s="499"/>
    </row>
  </sheetData>
  <sheetProtection/>
  <mergeCells count="4">
    <mergeCell ref="A1:C1"/>
    <mergeCell ref="E3:J3"/>
    <mergeCell ref="H4:J4"/>
    <mergeCell ref="A2:M2"/>
  </mergeCells>
  <printOptions/>
  <pageMargins left="0.1968503937007874" right="0.1968503937007874" top="0.984251968503937" bottom="0.69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4.125" style="0" customWidth="1"/>
    <col min="4" max="4" width="8.25390625" style="0" customWidth="1"/>
    <col min="5" max="5" width="10.375" style="0" customWidth="1"/>
    <col min="6" max="6" width="11.125" style="0" customWidth="1"/>
    <col min="7" max="7" width="11.00390625" style="0" customWidth="1"/>
    <col min="8" max="8" width="9.375" style="0" customWidth="1"/>
    <col min="10" max="10" width="9.25390625" style="0" customWidth="1"/>
    <col min="11" max="11" width="16.00390625" style="0" customWidth="1"/>
  </cols>
  <sheetData>
    <row r="1" spans="1:3" ht="57.75" customHeight="1">
      <c r="A1" s="675" t="s">
        <v>447</v>
      </c>
      <c r="B1" s="676"/>
      <c r="C1" s="676"/>
    </row>
    <row r="2" spans="1:11" ht="18.75">
      <c r="A2" s="684" t="s">
        <v>338</v>
      </c>
      <c r="B2" s="684"/>
      <c r="C2" s="684"/>
      <c r="D2" s="684"/>
      <c r="E2" s="684"/>
      <c r="F2" s="684"/>
      <c r="G2" s="684"/>
      <c r="H2" s="684"/>
      <c r="I2" s="684"/>
      <c r="J2" s="684"/>
      <c r="K2" s="74"/>
    </row>
    <row r="3" spans="1:11" ht="14.25" customHeight="1">
      <c r="A3" s="74"/>
      <c r="B3" s="74"/>
      <c r="C3" s="74"/>
      <c r="D3" s="74"/>
      <c r="E3" s="677" t="s">
        <v>64</v>
      </c>
      <c r="F3" s="678"/>
      <c r="G3" s="678"/>
      <c r="H3" s="678"/>
      <c r="I3" s="678"/>
      <c r="J3" s="678"/>
      <c r="K3" s="223"/>
    </row>
    <row r="4" spans="1:11" ht="15" customHeight="1">
      <c r="A4" s="74"/>
      <c r="B4" s="74"/>
      <c r="C4" s="74"/>
      <c r="D4" s="74"/>
      <c r="E4" s="275"/>
      <c r="F4" s="275"/>
      <c r="G4" s="275"/>
      <c r="H4" s="679"/>
      <c r="I4" s="679"/>
      <c r="J4" s="679"/>
      <c r="K4" s="223"/>
    </row>
    <row r="5" spans="1:11" ht="36" customHeight="1">
      <c r="A5" s="224" t="s">
        <v>22</v>
      </c>
      <c r="B5" s="224" t="s">
        <v>149</v>
      </c>
      <c r="C5" s="75" t="s">
        <v>203</v>
      </c>
      <c r="D5" s="75" t="s">
        <v>204</v>
      </c>
      <c r="E5" s="75" t="s">
        <v>205</v>
      </c>
      <c r="F5" s="75" t="s">
        <v>206</v>
      </c>
      <c r="G5" s="75" t="s">
        <v>207</v>
      </c>
      <c r="H5" s="75">
        <v>2007</v>
      </c>
      <c r="I5" s="75">
        <v>2008</v>
      </c>
      <c r="J5" s="75">
        <v>2009</v>
      </c>
      <c r="K5" s="75" t="s">
        <v>208</v>
      </c>
    </row>
    <row r="6" spans="1:11" ht="15" customHeight="1">
      <c r="A6" s="677" t="s">
        <v>209</v>
      </c>
      <c r="B6" s="678"/>
      <c r="C6" s="678"/>
      <c r="D6" s="678"/>
      <c r="E6" s="678"/>
      <c r="F6" s="678"/>
      <c r="G6" s="678"/>
      <c r="H6" s="678"/>
      <c r="I6" s="678"/>
      <c r="J6" s="678"/>
      <c r="K6" s="683"/>
    </row>
    <row r="7" spans="1:11" s="91" customFormat="1" ht="15.75" customHeight="1" thickBot="1">
      <c r="A7" s="545">
        <v>1</v>
      </c>
      <c r="B7" s="545">
        <v>2</v>
      </c>
      <c r="C7" s="546">
        <v>3</v>
      </c>
      <c r="D7" s="546">
        <v>4</v>
      </c>
      <c r="E7" s="546">
        <v>5</v>
      </c>
      <c r="F7" s="546">
        <v>6</v>
      </c>
      <c r="G7" s="546">
        <v>7</v>
      </c>
      <c r="H7" s="546">
        <v>8</v>
      </c>
      <c r="I7" s="546">
        <v>9</v>
      </c>
      <c r="J7" s="546">
        <v>10</v>
      </c>
      <c r="K7" s="546">
        <v>11</v>
      </c>
    </row>
    <row r="8" spans="1:11" s="105" customFormat="1" ht="26.25" customHeight="1" thickBot="1" thickTop="1">
      <c r="A8" s="538">
        <v>10</v>
      </c>
      <c r="B8" s="539"/>
      <c r="C8" s="540" t="s">
        <v>37</v>
      </c>
      <c r="D8" s="541"/>
      <c r="E8" s="542">
        <f aca="true" t="shared" si="0" ref="E8:J8">SUM(E9)</f>
        <v>4698428</v>
      </c>
      <c r="F8" s="542">
        <f t="shared" si="0"/>
        <v>4568428</v>
      </c>
      <c r="G8" s="542">
        <f t="shared" si="0"/>
        <v>130000</v>
      </c>
      <c r="H8" s="543">
        <f t="shared" si="0"/>
        <v>130000</v>
      </c>
      <c r="I8" s="543">
        <f t="shared" si="0"/>
        <v>0</v>
      </c>
      <c r="J8" s="543">
        <f t="shared" si="0"/>
        <v>0</v>
      </c>
      <c r="K8" s="544"/>
    </row>
    <row r="9" spans="1:11" s="105" customFormat="1" ht="26.25" customHeight="1">
      <c r="A9" s="226"/>
      <c r="B9" s="227">
        <v>1010</v>
      </c>
      <c r="C9" s="188" t="s">
        <v>210</v>
      </c>
      <c r="D9" s="228"/>
      <c r="E9" s="277">
        <f aca="true" t="shared" si="1" ref="E9:J9">SUM(E10:E10)</f>
        <v>4698428</v>
      </c>
      <c r="F9" s="277">
        <f t="shared" si="1"/>
        <v>4568428</v>
      </c>
      <c r="G9" s="277">
        <f t="shared" si="1"/>
        <v>130000</v>
      </c>
      <c r="H9" s="229">
        <f t="shared" si="1"/>
        <v>130000</v>
      </c>
      <c r="I9" s="229">
        <f t="shared" si="1"/>
        <v>0</v>
      </c>
      <c r="J9" s="229">
        <f t="shared" si="1"/>
        <v>0</v>
      </c>
      <c r="K9" s="229"/>
    </row>
    <row r="10" spans="1:11" s="105" customFormat="1" ht="36.75" customHeight="1" thickBot="1">
      <c r="A10" s="226"/>
      <c r="B10" s="227"/>
      <c r="C10" s="259" t="s">
        <v>245</v>
      </c>
      <c r="D10" s="228" t="s">
        <v>246</v>
      </c>
      <c r="E10" s="296">
        <f>SUM(F10:G10)</f>
        <v>4698428</v>
      </c>
      <c r="F10" s="296">
        <v>4568428</v>
      </c>
      <c r="G10" s="278">
        <v>130000</v>
      </c>
      <c r="H10" s="278">
        <v>130000</v>
      </c>
      <c r="I10" s="278"/>
      <c r="J10" s="278"/>
      <c r="K10" s="278"/>
    </row>
    <row r="11" spans="1:11" s="105" customFormat="1" ht="22.5" customHeight="1" thickBot="1">
      <c r="A11" s="231">
        <v>600</v>
      </c>
      <c r="B11" s="232"/>
      <c r="C11" s="225" t="s">
        <v>26</v>
      </c>
      <c r="D11" s="233"/>
      <c r="E11" s="279">
        <f>SUM(E12+E20)</f>
        <v>3668687</v>
      </c>
      <c r="F11" s="279">
        <f>SUM(F12+F20)</f>
        <v>1439687</v>
      </c>
      <c r="G11" s="279">
        <f>SUM(G12+G20)</f>
        <v>2229000</v>
      </c>
      <c r="H11" s="234">
        <f>SUM(H12+H20)</f>
        <v>2059000</v>
      </c>
      <c r="I11" s="234">
        <f>SUM(I12+I20)</f>
        <v>170000</v>
      </c>
      <c r="J11" s="234">
        <f>SUM(J12)</f>
        <v>0</v>
      </c>
      <c r="K11" s="235"/>
    </row>
    <row r="12" spans="1:11" s="105" customFormat="1" ht="15.75" customHeight="1">
      <c r="A12" s="140"/>
      <c r="B12" s="76">
        <v>60016</v>
      </c>
      <c r="C12" s="76" t="s">
        <v>212</v>
      </c>
      <c r="D12" s="103"/>
      <c r="E12" s="280">
        <f>SUM(E13:E18)</f>
        <v>3628687</v>
      </c>
      <c r="F12" s="280">
        <f>SUM(F13:F18)</f>
        <v>1439687</v>
      </c>
      <c r="G12" s="280">
        <f>SUM(G13:G18)</f>
        <v>2189000</v>
      </c>
      <c r="H12" s="178">
        <f>SUM(H13:H18)</f>
        <v>2019000</v>
      </c>
      <c r="I12" s="178">
        <f>SUM(I13:I18)</f>
        <v>170000</v>
      </c>
      <c r="J12" s="178">
        <f>SUM(J13:J16)</f>
        <v>0</v>
      </c>
      <c r="K12" s="236"/>
    </row>
    <row r="13" spans="1:11" s="105" customFormat="1" ht="36" customHeight="1">
      <c r="A13" s="79" t="s">
        <v>10</v>
      </c>
      <c r="B13" s="77"/>
      <c r="C13" s="237" t="s">
        <v>213</v>
      </c>
      <c r="D13" s="238" t="s">
        <v>214</v>
      </c>
      <c r="E13" s="296">
        <f aca="true" t="shared" si="2" ref="E13:E30">SUM(F13:G13)</f>
        <v>265722</v>
      </c>
      <c r="F13" s="298">
        <v>15722</v>
      </c>
      <c r="G13" s="299">
        <v>250000</v>
      </c>
      <c r="H13" s="300">
        <v>250000</v>
      </c>
      <c r="I13" s="240" t="s">
        <v>215</v>
      </c>
      <c r="J13" s="240" t="s">
        <v>215</v>
      </c>
      <c r="K13" s="81"/>
    </row>
    <row r="14" spans="1:11" s="105" customFormat="1" ht="16.5" customHeight="1">
      <c r="A14" s="79"/>
      <c r="B14" s="77"/>
      <c r="C14" s="78" t="s">
        <v>216</v>
      </c>
      <c r="D14" s="240" t="s">
        <v>214</v>
      </c>
      <c r="E14" s="296">
        <f t="shared" si="2"/>
        <v>2038900</v>
      </c>
      <c r="F14" s="281">
        <v>1090900</v>
      </c>
      <c r="G14" s="81">
        <v>948000</v>
      </c>
      <c r="H14" s="239">
        <v>948000</v>
      </c>
      <c r="I14" s="240" t="s">
        <v>215</v>
      </c>
      <c r="J14" s="240" t="s">
        <v>215</v>
      </c>
      <c r="K14" s="81"/>
    </row>
    <row r="15" spans="1:11" s="105" customFormat="1" ht="23.25" customHeight="1">
      <c r="A15" s="79"/>
      <c r="B15" s="77"/>
      <c r="C15" s="78" t="s">
        <v>217</v>
      </c>
      <c r="D15" s="240" t="s">
        <v>214</v>
      </c>
      <c r="E15" s="296">
        <f t="shared" si="2"/>
        <v>223223</v>
      </c>
      <c r="F15" s="301">
        <v>112223</v>
      </c>
      <c r="G15" s="302">
        <v>111000</v>
      </c>
      <c r="H15" s="300">
        <v>111000</v>
      </c>
      <c r="I15" s="240" t="s">
        <v>215</v>
      </c>
      <c r="J15" s="240" t="s">
        <v>215</v>
      </c>
      <c r="K15" s="81"/>
    </row>
    <row r="16" spans="1:11" s="105" customFormat="1" ht="24" customHeight="1">
      <c r="A16" s="79"/>
      <c r="B16" s="77"/>
      <c r="C16" s="78" t="s">
        <v>218</v>
      </c>
      <c r="D16" s="240" t="s">
        <v>214</v>
      </c>
      <c r="E16" s="296">
        <f t="shared" si="2"/>
        <v>601232</v>
      </c>
      <c r="F16" s="301">
        <v>211232</v>
      </c>
      <c r="G16" s="302">
        <v>390000</v>
      </c>
      <c r="H16" s="300">
        <v>390000</v>
      </c>
      <c r="I16" s="240"/>
      <c r="J16" s="240"/>
      <c r="K16" s="81"/>
    </row>
    <row r="17" spans="1:11" s="105" customFormat="1" ht="23.25" customHeight="1">
      <c r="A17" s="79"/>
      <c r="B17" s="77"/>
      <c r="C17" s="78" t="s">
        <v>408</v>
      </c>
      <c r="D17" s="240" t="s">
        <v>323</v>
      </c>
      <c r="E17" s="297">
        <f t="shared" si="2"/>
        <v>190000</v>
      </c>
      <c r="F17" s="301"/>
      <c r="G17" s="302">
        <v>190000</v>
      </c>
      <c r="H17" s="300">
        <v>20000</v>
      </c>
      <c r="I17" s="300">
        <v>170000</v>
      </c>
      <c r="J17" s="240"/>
      <c r="K17" s="81"/>
    </row>
    <row r="18" spans="1:11" s="105" customFormat="1" ht="31.5" customHeight="1">
      <c r="A18" s="79"/>
      <c r="B18" s="77"/>
      <c r="C18" s="78" t="s">
        <v>324</v>
      </c>
      <c r="D18" s="240" t="s">
        <v>214</v>
      </c>
      <c r="E18" s="297">
        <f t="shared" si="2"/>
        <v>309610</v>
      </c>
      <c r="F18" s="301">
        <v>9610</v>
      </c>
      <c r="G18" s="302">
        <v>300000</v>
      </c>
      <c r="H18" s="300">
        <v>300000</v>
      </c>
      <c r="I18" s="240"/>
      <c r="J18" s="240"/>
      <c r="K18" s="81"/>
    </row>
    <row r="19" spans="1:11" s="91" customFormat="1" ht="15.75" customHeight="1" thickBot="1">
      <c r="A19" s="545">
        <v>1</v>
      </c>
      <c r="B19" s="545">
        <v>2</v>
      </c>
      <c r="C19" s="546">
        <v>3</v>
      </c>
      <c r="D19" s="546">
        <v>4</v>
      </c>
      <c r="E19" s="546">
        <v>5</v>
      </c>
      <c r="F19" s="546">
        <v>6</v>
      </c>
      <c r="G19" s="546">
        <v>7</v>
      </c>
      <c r="H19" s="546">
        <v>8</v>
      </c>
      <c r="I19" s="546">
        <v>9</v>
      </c>
      <c r="J19" s="546">
        <v>10</v>
      </c>
      <c r="K19" s="546">
        <v>11</v>
      </c>
    </row>
    <row r="20" spans="1:11" s="105" customFormat="1" ht="20.25" customHeight="1" thickTop="1">
      <c r="A20" s="95"/>
      <c r="B20" s="264">
        <v>60016</v>
      </c>
      <c r="C20" s="184" t="s">
        <v>321</v>
      </c>
      <c r="D20" s="252"/>
      <c r="E20" s="277">
        <f>SUM(E21)</f>
        <v>40000</v>
      </c>
      <c r="F20" s="277">
        <f>SUM(F21)</f>
        <v>0</v>
      </c>
      <c r="G20" s="277">
        <f>SUM(G21)</f>
        <v>40000</v>
      </c>
      <c r="H20" s="229">
        <f>SUM(H21)</f>
        <v>40000</v>
      </c>
      <c r="I20" s="229">
        <f>SUM(I21)</f>
        <v>0</v>
      </c>
      <c r="J20" s="547"/>
      <c r="K20" s="548"/>
    </row>
    <row r="21" spans="1:11" s="105" customFormat="1" ht="28.5" customHeight="1" thickBot="1">
      <c r="A21" s="96"/>
      <c r="B21" s="170"/>
      <c r="C21" s="477" t="s">
        <v>322</v>
      </c>
      <c r="D21" s="256">
        <v>2007</v>
      </c>
      <c r="E21" s="478">
        <f t="shared" si="2"/>
        <v>40000</v>
      </c>
      <c r="F21" s="310"/>
      <c r="G21" s="311">
        <v>40000</v>
      </c>
      <c r="H21" s="312">
        <v>40000</v>
      </c>
      <c r="I21" s="256"/>
      <c r="J21" s="256"/>
      <c r="K21" s="258"/>
    </row>
    <row r="22" spans="1:11" s="105" customFormat="1" ht="18.75" customHeight="1" thickBot="1">
      <c r="A22" s="231">
        <v>700</v>
      </c>
      <c r="B22" s="225"/>
      <c r="C22" s="241" t="s">
        <v>4</v>
      </c>
      <c r="D22" s="242"/>
      <c r="E22" s="279">
        <f>SUM(E23:E25)</f>
        <v>5876567</v>
      </c>
      <c r="F22" s="279">
        <f>SUM(F23:F25)</f>
        <v>3989193</v>
      </c>
      <c r="G22" s="279">
        <f>SUM(G23:G25)</f>
        <v>1887374</v>
      </c>
      <c r="H22" s="234">
        <f>SUM(H23:H25)</f>
        <v>1887374</v>
      </c>
      <c r="I22" s="234">
        <f>SUM(I25:I25)</f>
        <v>0</v>
      </c>
      <c r="J22" s="234">
        <f>SUM(J25:J25)</f>
        <v>0</v>
      </c>
      <c r="K22" s="243"/>
    </row>
    <row r="23" spans="1:11" s="105" customFormat="1" ht="18.75" customHeight="1">
      <c r="A23" s="306"/>
      <c r="B23" s="250">
        <v>70005</v>
      </c>
      <c r="C23" s="307" t="s">
        <v>250</v>
      </c>
      <c r="D23" s="251">
        <v>2007</v>
      </c>
      <c r="E23" s="308">
        <f>SUM(F23:G23)</f>
        <v>310000</v>
      </c>
      <c r="F23" s="308"/>
      <c r="G23" s="309">
        <v>310000</v>
      </c>
      <c r="H23" s="309">
        <v>310000</v>
      </c>
      <c r="I23" s="309"/>
      <c r="J23" s="309"/>
      <c r="K23" s="528"/>
    </row>
    <row r="24" spans="1:11" s="105" customFormat="1" ht="27" customHeight="1">
      <c r="A24" s="76"/>
      <c r="B24" s="76">
        <v>70095</v>
      </c>
      <c r="C24" s="274" t="s">
        <v>443</v>
      </c>
      <c r="D24" s="240">
        <v>2007</v>
      </c>
      <c r="E24" s="297">
        <f t="shared" si="2"/>
        <v>26374</v>
      </c>
      <c r="F24" s="537"/>
      <c r="G24" s="549">
        <v>26374</v>
      </c>
      <c r="H24" s="549">
        <v>26374</v>
      </c>
      <c r="I24" s="99"/>
      <c r="J24" s="99"/>
      <c r="K24" s="81"/>
    </row>
    <row r="25" spans="1:11" s="105" customFormat="1" ht="50.25" customHeight="1" thickBot="1">
      <c r="A25" s="192"/>
      <c r="B25" s="529">
        <v>70095</v>
      </c>
      <c r="C25" s="530" t="s">
        <v>219</v>
      </c>
      <c r="D25" s="531" t="s">
        <v>220</v>
      </c>
      <c r="E25" s="532">
        <f t="shared" si="2"/>
        <v>5540193</v>
      </c>
      <c r="F25" s="533">
        <v>3989193</v>
      </c>
      <c r="G25" s="534">
        <v>1551000</v>
      </c>
      <c r="H25" s="535">
        <v>1551000</v>
      </c>
      <c r="I25" s="531" t="s">
        <v>215</v>
      </c>
      <c r="J25" s="531" t="s">
        <v>215</v>
      </c>
      <c r="K25" s="536" t="s">
        <v>221</v>
      </c>
    </row>
    <row r="26" spans="1:11" s="105" customFormat="1" ht="21" customHeight="1" thickBot="1">
      <c r="A26" s="231">
        <v>750</v>
      </c>
      <c r="B26" s="225"/>
      <c r="C26" s="241" t="s">
        <v>28</v>
      </c>
      <c r="D26" s="314"/>
      <c r="E26" s="276">
        <f>SUM(F26:G26)</f>
        <v>135000</v>
      </c>
      <c r="F26" s="315"/>
      <c r="G26" s="315">
        <f>SUM(G27)</f>
        <v>135000</v>
      </c>
      <c r="H26" s="316">
        <f>SUM(H27)</f>
        <v>135000</v>
      </c>
      <c r="I26" s="314"/>
      <c r="J26" s="314"/>
      <c r="K26" s="317"/>
    </row>
    <row r="27" spans="1:11" s="105" customFormat="1" ht="21.75" customHeight="1">
      <c r="A27" s="184"/>
      <c r="B27" s="184">
        <v>75023</v>
      </c>
      <c r="C27" s="265" t="s">
        <v>29</v>
      </c>
      <c r="D27" s="313"/>
      <c r="E27" s="277">
        <f>SUM(F27:G27)</f>
        <v>135000</v>
      </c>
      <c r="F27" s="318"/>
      <c r="G27" s="318">
        <f>SUM(G28:G28)</f>
        <v>135000</v>
      </c>
      <c r="H27" s="319">
        <f>SUM(H28:H28)</f>
        <v>135000</v>
      </c>
      <c r="I27" s="320"/>
      <c r="J27" s="320"/>
      <c r="K27" s="321"/>
    </row>
    <row r="28" spans="1:11" s="105" customFormat="1" ht="16.5" customHeight="1" thickBot="1">
      <c r="A28" s="77"/>
      <c r="B28" s="76"/>
      <c r="C28" s="78" t="s">
        <v>232</v>
      </c>
      <c r="D28" s="303">
        <v>2007</v>
      </c>
      <c r="E28" s="297">
        <f>SUM(F28:G28)</f>
        <v>135000</v>
      </c>
      <c r="F28" s="301"/>
      <c r="G28" s="301">
        <v>135000</v>
      </c>
      <c r="H28" s="300">
        <v>135000</v>
      </c>
      <c r="I28" s="303"/>
      <c r="J28" s="303"/>
      <c r="K28" s="244"/>
    </row>
    <row r="29" spans="1:11" s="105" customFormat="1" ht="24" customHeight="1" thickBot="1">
      <c r="A29" s="245">
        <v>754</v>
      </c>
      <c r="B29" s="246"/>
      <c r="C29" s="187" t="s">
        <v>222</v>
      </c>
      <c r="D29" s="247"/>
      <c r="E29" s="282">
        <f aca="true" t="shared" si="3" ref="E29:J29">SUM(E30)</f>
        <v>1522000</v>
      </c>
      <c r="F29" s="282">
        <f t="shared" si="3"/>
        <v>22000</v>
      </c>
      <c r="G29" s="282">
        <f t="shared" si="3"/>
        <v>1500000</v>
      </c>
      <c r="H29" s="248">
        <f t="shared" si="3"/>
        <v>600000</v>
      </c>
      <c r="I29" s="248">
        <f t="shared" si="3"/>
        <v>450000</v>
      </c>
      <c r="J29" s="248">
        <f t="shared" si="3"/>
        <v>450000</v>
      </c>
      <c r="K29" s="249"/>
    </row>
    <row r="30" spans="1:11" s="91" customFormat="1" ht="24.75" customHeight="1" thickBot="1">
      <c r="A30" s="192"/>
      <c r="B30" s="250">
        <v>75412</v>
      </c>
      <c r="C30" s="193" t="s">
        <v>223</v>
      </c>
      <c r="D30" s="251" t="s">
        <v>224</v>
      </c>
      <c r="E30" s="304">
        <f t="shared" si="2"/>
        <v>1522000</v>
      </c>
      <c r="F30" s="284">
        <v>22000</v>
      </c>
      <c r="G30" s="212">
        <v>1500000</v>
      </c>
      <c r="H30" s="213">
        <v>600000</v>
      </c>
      <c r="I30" s="213">
        <v>450000</v>
      </c>
      <c r="J30" s="213">
        <v>450000</v>
      </c>
      <c r="K30" s="212"/>
    </row>
    <row r="31" spans="1:11" s="105" customFormat="1" ht="17.25" customHeight="1" thickBot="1">
      <c r="A31" s="231">
        <v>801</v>
      </c>
      <c r="B31" s="225"/>
      <c r="C31" s="241" t="s">
        <v>5</v>
      </c>
      <c r="D31" s="242"/>
      <c r="E31" s="279">
        <f aca="true" t="shared" si="4" ref="E31:J31">SUM(E32)</f>
        <v>5453713</v>
      </c>
      <c r="F31" s="279">
        <f t="shared" si="4"/>
        <v>171713</v>
      </c>
      <c r="G31" s="279">
        <f t="shared" si="4"/>
        <v>5282000</v>
      </c>
      <c r="H31" s="234">
        <f t="shared" si="4"/>
        <v>1434000</v>
      </c>
      <c r="I31" s="234">
        <f t="shared" si="4"/>
        <v>1717000</v>
      </c>
      <c r="J31" s="234">
        <f t="shared" si="4"/>
        <v>2131000</v>
      </c>
      <c r="K31" s="243"/>
    </row>
    <row r="32" spans="1:11" ht="17.25" customHeight="1">
      <c r="A32" s="184"/>
      <c r="B32" s="184">
        <v>80101</v>
      </c>
      <c r="C32" s="188" t="s">
        <v>225</v>
      </c>
      <c r="D32" s="252"/>
      <c r="E32" s="283">
        <f aca="true" t="shared" si="5" ref="E32:J32">SUM(E33:E37)</f>
        <v>5453713</v>
      </c>
      <c r="F32" s="283">
        <f t="shared" si="5"/>
        <v>171713</v>
      </c>
      <c r="G32" s="283">
        <f t="shared" si="5"/>
        <v>5282000</v>
      </c>
      <c r="H32" s="253">
        <f t="shared" si="5"/>
        <v>1434000</v>
      </c>
      <c r="I32" s="253">
        <f t="shared" si="5"/>
        <v>1717000</v>
      </c>
      <c r="J32" s="253">
        <f t="shared" si="5"/>
        <v>2131000</v>
      </c>
      <c r="K32" s="211"/>
    </row>
    <row r="33" spans="1:11" s="105" customFormat="1" ht="24" customHeight="1">
      <c r="A33" s="77"/>
      <c r="B33" s="76"/>
      <c r="C33" s="78" t="s">
        <v>226</v>
      </c>
      <c r="D33" s="240" t="s">
        <v>224</v>
      </c>
      <c r="E33" s="80">
        <f aca="true" t="shared" si="6" ref="E33:E41">SUM(F33:G33)</f>
        <v>1803951</v>
      </c>
      <c r="F33" s="80">
        <v>22951</v>
      </c>
      <c r="G33" s="81">
        <v>1781000</v>
      </c>
      <c r="H33" s="239">
        <v>500000</v>
      </c>
      <c r="I33" s="239">
        <v>400000</v>
      </c>
      <c r="J33" s="239">
        <v>881000</v>
      </c>
      <c r="K33" s="81"/>
    </row>
    <row r="34" spans="1:11" s="105" customFormat="1" ht="49.5" customHeight="1">
      <c r="A34" s="77"/>
      <c r="B34" s="77"/>
      <c r="C34" s="78" t="s">
        <v>227</v>
      </c>
      <c r="D34" s="240" t="s">
        <v>224</v>
      </c>
      <c r="E34" s="80">
        <f t="shared" si="6"/>
        <v>1234980</v>
      </c>
      <c r="F34" s="281">
        <v>29980</v>
      </c>
      <c r="G34" s="81">
        <v>1205000</v>
      </c>
      <c r="H34" s="239">
        <v>888000</v>
      </c>
      <c r="I34" s="239">
        <v>317000</v>
      </c>
      <c r="J34" s="239"/>
      <c r="K34" s="244" t="s">
        <v>339</v>
      </c>
    </row>
    <row r="35" spans="1:11" ht="16.5" customHeight="1">
      <c r="A35" s="77"/>
      <c r="B35" s="77"/>
      <c r="C35" s="78" t="s">
        <v>228</v>
      </c>
      <c r="D35" s="240" t="s">
        <v>211</v>
      </c>
      <c r="E35" s="80">
        <f t="shared" si="6"/>
        <v>50000</v>
      </c>
      <c r="F35" s="281">
        <v>20000</v>
      </c>
      <c r="G35" s="81">
        <v>30000</v>
      </c>
      <c r="H35" s="239">
        <v>30000</v>
      </c>
      <c r="I35" s="239"/>
      <c r="J35" s="239"/>
      <c r="K35" s="244"/>
    </row>
    <row r="36" spans="1:11" s="105" customFormat="1" ht="24.75" customHeight="1">
      <c r="A36" s="77"/>
      <c r="B36" s="77"/>
      <c r="C36" s="78" t="s">
        <v>247</v>
      </c>
      <c r="D36" s="240" t="s">
        <v>220</v>
      </c>
      <c r="E36" s="80">
        <f t="shared" si="6"/>
        <v>76682</v>
      </c>
      <c r="F36" s="281">
        <v>60682</v>
      </c>
      <c r="G36" s="81">
        <v>16000</v>
      </c>
      <c r="H36" s="239">
        <v>16000</v>
      </c>
      <c r="I36" s="239"/>
      <c r="J36" s="239"/>
      <c r="K36" s="244"/>
    </row>
    <row r="37" spans="1:11" s="105" customFormat="1" ht="24.75" customHeight="1">
      <c r="A37" s="170"/>
      <c r="B37" s="170"/>
      <c r="C37" s="191" t="s">
        <v>325</v>
      </c>
      <c r="D37" s="256" t="s">
        <v>211</v>
      </c>
      <c r="E37" s="305">
        <f t="shared" si="6"/>
        <v>2288100</v>
      </c>
      <c r="F37" s="322">
        <v>38100</v>
      </c>
      <c r="G37" s="258">
        <v>2250000</v>
      </c>
      <c r="H37" s="257"/>
      <c r="I37" s="257">
        <v>1000000</v>
      </c>
      <c r="J37" s="257">
        <v>1250000</v>
      </c>
      <c r="K37" s="262"/>
    </row>
    <row r="38" spans="1:11" s="91" customFormat="1" ht="15.75" customHeight="1" thickBot="1">
      <c r="A38" s="545">
        <v>1</v>
      </c>
      <c r="B38" s="545">
        <v>2</v>
      </c>
      <c r="C38" s="546">
        <v>3</v>
      </c>
      <c r="D38" s="546">
        <v>4</v>
      </c>
      <c r="E38" s="546">
        <v>5</v>
      </c>
      <c r="F38" s="546">
        <v>6</v>
      </c>
      <c r="G38" s="546">
        <v>7</v>
      </c>
      <c r="H38" s="546">
        <v>8</v>
      </c>
      <c r="I38" s="546">
        <v>9</v>
      </c>
      <c r="J38" s="546">
        <v>10</v>
      </c>
      <c r="K38" s="546">
        <v>11</v>
      </c>
    </row>
    <row r="39" spans="1:11" s="105" customFormat="1" ht="16.5" customHeight="1" thickBot="1" thickTop="1">
      <c r="A39" s="245">
        <v>852</v>
      </c>
      <c r="B39" s="246"/>
      <c r="C39" s="481" t="s">
        <v>233</v>
      </c>
      <c r="D39" s="242"/>
      <c r="E39" s="482">
        <f t="shared" si="6"/>
        <v>12000</v>
      </c>
      <c r="F39" s="282"/>
      <c r="G39" s="282">
        <f>SUM(G40)</f>
        <v>12000</v>
      </c>
      <c r="H39" s="248">
        <f>SUM(H40)</f>
        <v>12000</v>
      </c>
      <c r="I39" s="483"/>
      <c r="J39" s="483"/>
      <c r="K39" s="484"/>
    </row>
    <row r="40" spans="1:11" s="105" customFormat="1" ht="16.5" customHeight="1">
      <c r="A40" s="264"/>
      <c r="B40" s="264">
        <v>85219</v>
      </c>
      <c r="C40" s="265" t="s">
        <v>35</v>
      </c>
      <c r="D40" s="252"/>
      <c r="E40" s="323">
        <f t="shared" si="6"/>
        <v>12000</v>
      </c>
      <c r="F40" s="324"/>
      <c r="G40" s="324">
        <f>SUM(G41)</f>
        <v>12000</v>
      </c>
      <c r="H40" s="266">
        <f>SUM(H41)</f>
        <v>12000</v>
      </c>
      <c r="I40" s="260"/>
      <c r="J40" s="260"/>
      <c r="K40" s="263"/>
    </row>
    <row r="41" spans="1:11" s="105" customFormat="1" ht="16.5" customHeight="1" thickBot="1">
      <c r="A41" s="170"/>
      <c r="B41" s="170"/>
      <c r="C41" s="191" t="s">
        <v>234</v>
      </c>
      <c r="D41" s="256">
        <v>2007</v>
      </c>
      <c r="E41" s="80">
        <f t="shared" si="6"/>
        <v>12000</v>
      </c>
      <c r="F41" s="322"/>
      <c r="G41" s="258">
        <v>12000</v>
      </c>
      <c r="H41" s="257">
        <v>12000</v>
      </c>
      <c r="I41" s="257"/>
      <c r="J41" s="257"/>
      <c r="K41" s="262"/>
    </row>
    <row r="42" spans="1:11" s="105" customFormat="1" ht="25.5" customHeight="1" thickBot="1">
      <c r="A42" s="231">
        <v>900</v>
      </c>
      <c r="B42" s="225"/>
      <c r="C42" s="241" t="s">
        <v>229</v>
      </c>
      <c r="D42" s="242"/>
      <c r="E42" s="279">
        <f aca="true" t="shared" si="7" ref="E42:J42">SUM(E43+E47+E56)</f>
        <v>7063378</v>
      </c>
      <c r="F42" s="279">
        <f t="shared" si="7"/>
        <v>486852</v>
      </c>
      <c r="G42" s="279">
        <f t="shared" si="7"/>
        <v>6576526</v>
      </c>
      <c r="H42" s="234">
        <f t="shared" si="7"/>
        <v>1389526</v>
      </c>
      <c r="I42" s="234">
        <f t="shared" si="7"/>
        <v>2590000</v>
      </c>
      <c r="J42" s="234">
        <f t="shared" si="7"/>
        <v>2597000</v>
      </c>
      <c r="K42" s="254"/>
    </row>
    <row r="43" spans="1:11" ht="16.5" customHeight="1">
      <c r="A43" s="184"/>
      <c r="B43" s="184">
        <v>90001</v>
      </c>
      <c r="C43" s="188" t="s">
        <v>73</v>
      </c>
      <c r="D43" s="252"/>
      <c r="E43" s="283">
        <f aca="true" t="shared" si="8" ref="E43:J43">SUM(E44:E46)</f>
        <v>453173</v>
      </c>
      <c r="F43" s="283">
        <f t="shared" si="8"/>
        <v>248573</v>
      </c>
      <c r="G43" s="283">
        <f t="shared" si="8"/>
        <v>204600</v>
      </c>
      <c r="H43" s="253">
        <f t="shared" si="8"/>
        <v>204600</v>
      </c>
      <c r="I43" s="253">
        <f t="shared" si="8"/>
        <v>0</v>
      </c>
      <c r="J43" s="253">
        <f t="shared" si="8"/>
        <v>0</v>
      </c>
      <c r="K43" s="211" t="s">
        <v>10</v>
      </c>
    </row>
    <row r="44" spans="1:11" s="105" customFormat="1" ht="23.25" customHeight="1">
      <c r="A44" s="77"/>
      <c r="B44" s="77"/>
      <c r="C44" s="191" t="s">
        <v>230</v>
      </c>
      <c r="D44" s="240" t="s">
        <v>214</v>
      </c>
      <c r="E44" s="80">
        <f>SUM(F44:G44)</f>
        <v>294006</v>
      </c>
      <c r="F44" s="281">
        <v>244006</v>
      </c>
      <c r="G44" s="81">
        <v>50000</v>
      </c>
      <c r="H44" s="239">
        <v>50000</v>
      </c>
      <c r="I44" s="239"/>
      <c r="J44" s="240"/>
      <c r="K44" s="106" t="s">
        <v>231</v>
      </c>
    </row>
    <row r="45" spans="1:11" s="105" customFormat="1" ht="24" customHeight="1">
      <c r="A45" s="77"/>
      <c r="B45" s="77"/>
      <c r="C45" s="191" t="s">
        <v>429</v>
      </c>
      <c r="D45" s="240" t="s">
        <v>211</v>
      </c>
      <c r="E45" s="80">
        <f>SUM(F45:G45)</f>
        <v>107653</v>
      </c>
      <c r="F45" s="281">
        <v>53</v>
      </c>
      <c r="G45" s="81">
        <v>107600</v>
      </c>
      <c r="H45" s="239">
        <v>107600</v>
      </c>
      <c r="I45" s="240"/>
      <c r="J45" s="240"/>
      <c r="K45" s="255" t="s">
        <v>256</v>
      </c>
    </row>
    <row r="46" spans="1:11" ht="15" customHeight="1">
      <c r="A46" s="77"/>
      <c r="B46" s="77"/>
      <c r="C46" s="78" t="s">
        <v>248</v>
      </c>
      <c r="D46" s="240" t="s">
        <v>211</v>
      </c>
      <c r="E46" s="80">
        <f>SUM(F46:G46)</f>
        <v>51514</v>
      </c>
      <c r="F46" s="281">
        <v>4514</v>
      </c>
      <c r="G46" s="81">
        <v>47000</v>
      </c>
      <c r="H46" s="239">
        <v>47000</v>
      </c>
      <c r="I46" s="240"/>
      <c r="J46" s="240"/>
      <c r="K46" s="286"/>
    </row>
    <row r="47" spans="1:11" ht="14.25" customHeight="1">
      <c r="A47" s="291"/>
      <c r="B47" s="291">
        <v>90015</v>
      </c>
      <c r="C47" s="273" t="s">
        <v>251</v>
      </c>
      <c r="D47" s="292"/>
      <c r="E47" s="295">
        <f aca="true" t="shared" si="9" ref="E47:J47">SUM(E48:E55)</f>
        <v>946754</v>
      </c>
      <c r="F47" s="295">
        <f t="shared" si="9"/>
        <v>44754</v>
      </c>
      <c r="G47" s="295">
        <f t="shared" si="9"/>
        <v>902000</v>
      </c>
      <c r="H47" s="293">
        <f t="shared" si="9"/>
        <v>215000</v>
      </c>
      <c r="I47" s="293">
        <f t="shared" si="9"/>
        <v>390000</v>
      </c>
      <c r="J47" s="293">
        <f t="shared" si="9"/>
        <v>297000</v>
      </c>
      <c r="K47" s="294"/>
    </row>
    <row r="48" spans="1:11" ht="24.75" customHeight="1">
      <c r="A48" s="290"/>
      <c r="B48" s="192"/>
      <c r="C48" s="193" t="s">
        <v>249</v>
      </c>
      <c r="D48" s="251" t="s">
        <v>211</v>
      </c>
      <c r="E48" s="305">
        <f aca="true" t="shared" si="10" ref="E48:E55">SUM(F48:G48)</f>
        <v>19104</v>
      </c>
      <c r="F48" s="285">
        <v>1104</v>
      </c>
      <c r="G48" s="212">
        <v>18000</v>
      </c>
      <c r="H48" s="213">
        <v>18000</v>
      </c>
      <c r="I48" s="251"/>
      <c r="J48" s="251"/>
      <c r="K48" s="479" t="s">
        <v>10</v>
      </c>
    </row>
    <row r="49" spans="1:11" ht="24.75" customHeight="1">
      <c r="A49" s="77"/>
      <c r="B49" s="77"/>
      <c r="C49" s="78" t="s">
        <v>326</v>
      </c>
      <c r="D49" s="240" t="s">
        <v>323</v>
      </c>
      <c r="E49" s="305">
        <f t="shared" si="10"/>
        <v>165000</v>
      </c>
      <c r="F49" s="281"/>
      <c r="G49" s="81">
        <v>165000</v>
      </c>
      <c r="H49" s="480">
        <v>15000</v>
      </c>
      <c r="I49" s="480">
        <v>150000</v>
      </c>
      <c r="J49" s="240"/>
      <c r="K49" s="286"/>
    </row>
    <row r="50" spans="1:11" ht="15" customHeight="1">
      <c r="A50" s="77"/>
      <c r="B50" s="77"/>
      <c r="C50" s="78" t="s">
        <v>327</v>
      </c>
      <c r="D50" s="240" t="s">
        <v>328</v>
      </c>
      <c r="E50" s="305">
        <f t="shared" si="10"/>
        <v>59186</v>
      </c>
      <c r="F50" s="281">
        <v>24186</v>
      </c>
      <c r="G50" s="81">
        <v>35000</v>
      </c>
      <c r="H50" s="239">
        <v>35000</v>
      </c>
      <c r="I50" s="240"/>
      <c r="J50" s="240" t="s">
        <v>10</v>
      </c>
      <c r="K50" s="286"/>
    </row>
    <row r="51" spans="1:11" ht="24.75" customHeight="1">
      <c r="A51" s="77"/>
      <c r="B51" s="77"/>
      <c r="C51" s="78" t="s">
        <v>329</v>
      </c>
      <c r="D51" s="240" t="s">
        <v>211</v>
      </c>
      <c r="E51" s="80">
        <f t="shared" si="10"/>
        <v>31464</v>
      </c>
      <c r="F51" s="281">
        <v>1464</v>
      </c>
      <c r="G51" s="81">
        <v>30000</v>
      </c>
      <c r="H51" s="239">
        <v>30000</v>
      </c>
      <c r="I51" s="240"/>
      <c r="J51" s="240"/>
      <c r="K51" s="286"/>
    </row>
    <row r="52" spans="1:11" ht="24.75" customHeight="1">
      <c r="A52" s="77"/>
      <c r="B52" s="77"/>
      <c r="C52" s="78" t="s">
        <v>330</v>
      </c>
      <c r="D52" s="240" t="s">
        <v>214</v>
      </c>
      <c r="E52" s="80">
        <f t="shared" si="10"/>
        <v>75000</v>
      </c>
      <c r="F52" s="281">
        <v>18000</v>
      </c>
      <c r="G52" s="81">
        <v>57000</v>
      </c>
      <c r="H52" s="239">
        <v>57000</v>
      </c>
      <c r="I52" s="240"/>
      <c r="J52" s="240"/>
      <c r="K52" s="286"/>
    </row>
    <row r="53" spans="1:11" ht="24.75" customHeight="1">
      <c r="A53" s="77"/>
      <c r="B53" s="77"/>
      <c r="C53" s="78" t="s">
        <v>410</v>
      </c>
      <c r="D53" s="240" t="s">
        <v>224</v>
      </c>
      <c r="E53" s="80">
        <f t="shared" si="10"/>
        <v>497000</v>
      </c>
      <c r="F53" s="281"/>
      <c r="G53" s="81">
        <v>497000</v>
      </c>
      <c r="H53" s="239">
        <v>0</v>
      </c>
      <c r="I53" s="239">
        <v>200000</v>
      </c>
      <c r="J53" s="239">
        <v>297000</v>
      </c>
      <c r="K53" s="286"/>
    </row>
    <row r="54" spans="1:11" ht="24.75" customHeight="1">
      <c r="A54" s="77"/>
      <c r="B54" s="77"/>
      <c r="C54" s="78" t="s">
        <v>337</v>
      </c>
      <c r="D54" s="240">
        <v>2007</v>
      </c>
      <c r="E54" s="80">
        <f t="shared" si="10"/>
        <v>50000</v>
      </c>
      <c r="F54" s="281"/>
      <c r="G54" s="81">
        <v>50000</v>
      </c>
      <c r="H54" s="239">
        <v>50000</v>
      </c>
      <c r="I54" s="239"/>
      <c r="J54" s="239"/>
      <c r="K54" s="286"/>
    </row>
    <row r="55" spans="1:11" ht="24.75" customHeight="1">
      <c r="A55" s="77"/>
      <c r="B55" s="77"/>
      <c r="C55" s="78" t="s">
        <v>440</v>
      </c>
      <c r="D55" s="240" t="s">
        <v>323</v>
      </c>
      <c r="E55" s="80">
        <f t="shared" si="10"/>
        <v>50000</v>
      </c>
      <c r="F55" s="281"/>
      <c r="G55" s="81">
        <v>50000</v>
      </c>
      <c r="H55" s="239">
        <v>10000</v>
      </c>
      <c r="I55" s="239">
        <v>40000</v>
      </c>
      <c r="J55" s="239"/>
      <c r="K55" s="286"/>
    </row>
    <row r="56" spans="1:11" ht="18.75" customHeight="1">
      <c r="A56" s="76"/>
      <c r="B56" s="76">
        <v>90095</v>
      </c>
      <c r="C56" s="82" t="s">
        <v>3</v>
      </c>
      <c r="D56" s="240"/>
      <c r="E56" s="280">
        <f aca="true" t="shared" si="11" ref="E56:J56">SUM(E57:E58)+SUM(E60:E65)</f>
        <v>5663451</v>
      </c>
      <c r="F56" s="280">
        <f t="shared" si="11"/>
        <v>193525</v>
      </c>
      <c r="G56" s="280">
        <f t="shared" si="11"/>
        <v>5469926</v>
      </c>
      <c r="H56" s="280">
        <f t="shared" si="11"/>
        <v>969926</v>
      </c>
      <c r="I56" s="178">
        <f t="shared" si="11"/>
        <v>2200000</v>
      </c>
      <c r="J56" s="178">
        <f t="shared" si="11"/>
        <v>2300000</v>
      </c>
      <c r="K56" s="81"/>
    </row>
    <row r="57" spans="1:11" ht="35.25" customHeight="1">
      <c r="A57" s="77"/>
      <c r="B57" s="77"/>
      <c r="C57" s="78" t="s">
        <v>331</v>
      </c>
      <c r="D57" s="240" t="s">
        <v>224</v>
      </c>
      <c r="E57" s="80">
        <f aca="true" t="shared" si="12" ref="E57:E65">SUM(F57:G57)</f>
        <v>4093405</v>
      </c>
      <c r="F57" s="281">
        <v>63405</v>
      </c>
      <c r="G57" s="81">
        <v>4030000</v>
      </c>
      <c r="H57" s="239">
        <v>30000</v>
      </c>
      <c r="I57" s="239">
        <v>2000000</v>
      </c>
      <c r="J57" s="239">
        <v>2000000</v>
      </c>
      <c r="K57" s="163"/>
    </row>
    <row r="58" spans="1:11" ht="29.25" customHeight="1">
      <c r="A58" s="77"/>
      <c r="B58" s="77"/>
      <c r="C58" s="78" t="s">
        <v>332</v>
      </c>
      <c r="D58" s="240" t="s">
        <v>214</v>
      </c>
      <c r="E58" s="80">
        <f t="shared" si="12"/>
        <v>112828</v>
      </c>
      <c r="F58" s="281">
        <v>78828</v>
      </c>
      <c r="G58" s="81">
        <v>34000</v>
      </c>
      <c r="H58" s="239">
        <v>34000</v>
      </c>
      <c r="I58" s="240" t="s">
        <v>215</v>
      </c>
      <c r="J58" s="240" t="s">
        <v>215</v>
      </c>
      <c r="K58" s="163"/>
    </row>
    <row r="59" spans="1:11" ht="13.5" customHeight="1">
      <c r="A59" s="550">
        <v>1</v>
      </c>
      <c r="B59" s="550">
        <v>2</v>
      </c>
      <c r="C59" s="551">
        <v>3</v>
      </c>
      <c r="D59" s="550">
        <v>4</v>
      </c>
      <c r="E59" s="550">
        <v>5</v>
      </c>
      <c r="F59" s="550">
        <v>6</v>
      </c>
      <c r="G59" s="550">
        <v>7</v>
      </c>
      <c r="H59" s="550">
        <v>8</v>
      </c>
      <c r="I59" s="550">
        <v>9</v>
      </c>
      <c r="J59" s="550">
        <v>10</v>
      </c>
      <c r="K59" s="552">
        <v>11</v>
      </c>
    </row>
    <row r="60" spans="1:11" ht="24.75" customHeight="1">
      <c r="A60" s="77"/>
      <c r="B60" s="77"/>
      <c r="C60" s="78" t="s">
        <v>333</v>
      </c>
      <c r="D60" s="240" t="s">
        <v>211</v>
      </c>
      <c r="E60" s="80">
        <f t="shared" si="12"/>
        <v>50000</v>
      </c>
      <c r="F60" s="240" t="s">
        <v>215</v>
      </c>
      <c r="G60" s="81">
        <v>50000</v>
      </c>
      <c r="H60" s="239">
        <v>50000</v>
      </c>
      <c r="I60" s="240"/>
      <c r="J60" s="240"/>
      <c r="K60" s="81"/>
    </row>
    <row r="61" spans="1:11" ht="22.5">
      <c r="A61" s="77"/>
      <c r="B61" s="77"/>
      <c r="C61" s="78" t="s">
        <v>334</v>
      </c>
      <c r="D61" s="240">
        <v>2007</v>
      </c>
      <c r="E61" s="80">
        <f t="shared" si="12"/>
        <v>115800</v>
      </c>
      <c r="F61" s="240"/>
      <c r="G61" s="81">
        <v>115800</v>
      </c>
      <c r="H61" s="239">
        <v>115800</v>
      </c>
      <c r="I61" s="240"/>
      <c r="J61" s="240"/>
      <c r="K61" s="81"/>
    </row>
    <row r="62" spans="1:11" ht="22.5">
      <c r="A62" s="77"/>
      <c r="B62" s="77"/>
      <c r="C62" s="78" t="s">
        <v>442</v>
      </c>
      <c r="D62" s="240" t="s">
        <v>211</v>
      </c>
      <c r="E62" s="80">
        <f t="shared" si="12"/>
        <v>92236</v>
      </c>
      <c r="F62" s="80">
        <v>2110</v>
      </c>
      <c r="G62" s="81">
        <v>90126</v>
      </c>
      <c r="H62" s="239">
        <v>90126</v>
      </c>
      <c r="I62" s="240"/>
      <c r="J62" s="240"/>
      <c r="K62" s="81"/>
    </row>
    <row r="63" spans="1:11" ht="22.5">
      <c r="A63" s="77"/>
      <c r="B63" s="77"/>
      <c r="C63" s="78" t="s">
        <v>335</v>
      </c>
      <c r="D63" s="240">
        <v>2007</v>
      </c>
      <c r="E63" s="80">
        <f t="shared" si="12"/>
        <v>150000</v>
      </c>
      <c r="F63" s="80"/>
      <c r="G63" s="81">
        <v>150000</v>
      </c>
      <c r="H63" s="239">
        <v>150000</v>
      </c>
      <c r="I63" s="240"/>
      <c r="J63" s="240"/>
      <c r="K63" s="244" t="s">
        <v>342</v>
      </c>
    </row>
    <row r="64" spans="1:11" ht="22.5">
      <c r="A64" s="77"/>
      <c r="B64" s="77"/>
      <c r="C64" s="78" t="s">
        <v>336</v>
      </c>
      <c r="D64" s="240" t="s">
        <v>214</v>
      </c>
      <c r="E64" s="80">
        <f t="shared" si="12"/>
        <v>499182</v>
      </c>
      <c r="F64" s="80">
        <v>49182</v>
      </c>
      <c r="G64" s="81">
        <v>450000</v>
      </c>
      <c r="H64" s="239">
        <v>450000</v>
      </c>
      <c r="I64" s="240"/>
      <c r="J64" s="240"/>
      <c r="K64" s="244" t="s">
        <v>341</v>
      </c>
    </row>
    <row r="65" spans="1:11" ht="34.5" thickBot="1">
      <c r="A65" s="170"/>
      <c r="B65" s="170"/>
      <c r="C65" s="191" t="s">
        <v>441</v>
      </c>
      <c r="D65" s="256" t="s">
        <v>384</v>
      </c>
      <c r="E65" s="305">
        <f t="shared" si="12"/>
        <v>550000</v>
      </c>
      <c r="F65" s="305"/>
      <c r="G65" s="258">
        <v>550000</v>
      </c>
      <c r="H65" s="257">
        <v>50000</v>
      </c>
      <c r="I65" s="257">
        <v>200000</v>
      </c>
      <c r="J65" s="257">
        <v>300000</v>
      </c>
      <c r="K65" s="262"/>
    </row>
    <row r="66" spans="1:11" ht="23.25" thickBot="1">
      <c r="A66" s="245">
        <v>921</v>
      </c>
      <c r="B66" s="246"/>
      <c r="C66" s="481" t="s">
        <v>430</v>
      </c>
      <c r="D66" s="242"/>
      <c r="E66" s="482">
        <f>SUM(F66:G66)</f>
        <v>161000</v>
      </c>
      <c r="F66" s="482">
        <f aca="true" t="shared" si="13" ref="F66:H67">SUM(F67)</f>
        <v>11000</v>
      </c>
      <c r="G66" s="482">
        <f t="shared" si="13"/>
        <v>150000</v>
      </c>
      <c r="H66" s="482">
        <f t="shared" si="13"/>
        <v>150000</v>
      </c>
      <c r="I66" s="247"/>
      <c r="J66" s="247"/>
      <c r="K66" s="317"/>
    </row>
    <row r="67" spans="1:11" ht="15.75" customHeight="1">
      <c r="A67" s="264"/>
      <c r="B67" s="264">
        <v>92109</v>
      </c>
      <c r="C67" s="265" t="s">
        <v>49</v>
      </c>
      <c r="D67" s="252"/>
      <c r="E67" s="523">
        <f>SUM(F67:G67)</f>
        <v>161000</v>
      </c>
      <c r="F67" s="523">
        <f t="shared" si="13"/>
        <v>11000</v>
      </c>
      <c r="G67" s="260">
        <f t="shared" si="13"/>
        <v>150000</v>
      </c>
      <c r="H67" s="260">
        <f t="shared" si="13"/>
        <v>150000</v>
      </c>
      <c r="I67" s="252"/>
      <c r="J67" s="252"/>
      <c r="K67" s="263"/>
    </row>
    <row r="68" spans="1:11" ht="15.75" customHeight="1" thickBot="1">
      <c r="A68" s="170"/>
      <c r="B68" s="170"/>
      <c r="C68" s="191" t="s">
        <v>409</v>
      </c>
      <c r="D68" s="256" t="s">
        <v>211</v>
      </c>
      <c r="E68" s="305">
        <f>SUM(F68:G68)</f>
        <v>161000</v>
      </c>
      <c r="F68" s="305">
        <v>11000</v>
      </c>
      <c r="G68" s="258">
        <v>150000</v>
      </c>
      <c r="H68" s="257">
        <v>150000</v>
      </c>
      <c r="I68" s="256"/>
      <c r="J68" s="256"/>
      <c r="K68" s="262"/>
    </row>
    <row r="69" spans="1:11" ht="16.5" customHeight="1" thickBot="1">
      <c r="A69" s="231"/>
      <c r="B69" s="225"/>
      <c r="C69" s="261" t="s">
        <v>121</v>
      </c>
      <c r="D69" s="242"/>
      <c r="E69" s="493">
        <f>E8+E11+E22+E26+E29+E31+E39+E42+E66</f>
        <v>28590773</v>
      </c>
      <c r="F69" s="279">
        <f>F8+F11+F22+F26+F29+F31+F39+F42+F66</f>
        <v>10688873</v>
      </c>
      <c r="G69" s="279">
        <f>G8+G11+G22+G26+G29+G31+G39+G42+G66</f>
        <v>17901900</v>
      </c>
      <c r="H69" s="234">
        <f>H8+H11+H22+H26+H29+H31+H39+H42+H66</f>
        <v>7796900</v>
      </c>
      <c r="I69" s="234">
        <f>I8+I11+I22+I26+I29+I31+I39+I42</f>
        <v>4927000</v>
      </c>
      <c r="J69" s="234">
        <f>J8+J11+J22+J26+J29+J31+J39+J42</f>
        <v>5178000</v>
      </c>
      <c r="K69" s="243"/>
    </row>
    <row r="70" spans="1:11" ht="12.75">
      <c r="A70" s="184"/>
      <c r="B70" s="184"/>
      <c r="C70" s="512" t="s">
        <v>405</v>
      </c>
      <c r="D70" s="252"/>
      <c r="E70" s="253"/>
      <c r="F70" s="253"/>
      <c r="G70" s="253"/>
      <c r="H70" s="253"/>
      <c r="I70" s="253"/>
      <c r="J70" s="253"/>
      <c r="K70" s="211"/>
    </row>
    <row r="71" spans="3:9" ht="15" customHeight="1">
      <c r="C71" s="513" t="s">
        <v>406</v>
      </c>
      <c r="H71" s="485">
        <v>254000</v>
      </c>
      <c r="I71" t="s">
        <v>10</v>
      </c>
    </row>
    <row r="72" spans="3:8" ht="12.75">
      <c r="C72" s="514" t="s">
        <v>407</v>
      </c>
      <c r="H72" s="515">
        <v>397000</v>
      </c>
    </row>
    <row r="73" ht="12.75">
      <c r="F73" t="s">
        <v>10</v>
      </c>
    </row>
  </sheetData>
  <sheetProtection/>
  <mergeCells count="5">
    <mergeCell ref="A6:K6"/>
    <mergeCell ref="A2:J2"/>
    <mergeCell ref="E3:J3"/>
    <mergeCell ref="A1:C1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admin-ww</cp:lastModifiedBy>
  <cp:lastPrinted>2007-04-02T06:59:05Z</cp:lastPrinted>
  <dcterms:created xsi:type="dcterms:W3CDTF">1999-10-04T07:27:01Z</dcterms:created>
  <dcterms:modified xsi:type="dcterms:W3CDTF">2007-12-06T09:31:40Z</dcterms:modified>
  <cp:category/>
  <cp:version/>
  <cp:contentType/>
  <cp:contentStatus/>
</cp:coreProperties>
</file>