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awiktorow\Grupa Polsat Plus\[PROJ] MD&amp;A - 2Q2021 - 2Q2021\excele\"/>
    </mc:Choice>
  </mc:AlternateContent>
  <bookViews>
    <workbookView xWindow="11850" yWindow="-150" windowWidth="11190" windowHeight="9705" tabRatio="597" activeTab="1"/>
  </bookViews>
  <sheets>
    <sheet name="P&amp;L" sheetId="1" r:id="rId1"/>
    <sheet name="Segments" sheetId="2" r:id="rId2"/>
    <sheet name="Balance sheet" sheetId="3" r:id="rId3"/>
    <sheet name="Cash Flow" sheetId="4" r:id="rId4"/>
    <sheet name="Ratios" sheetId="7" r:id="rId5"/>
    <sheet name="KPI_segment B2B&amp;B2C" sheetId="5" r:id="rId6"/>
    <sheet name="KPI TV &amp; online" sheetId="6" r:id="rId7"/>
  </sheets>
  <definedNames>
    <definedName name="_xlnm.Print_Area" localSheetId="2">'Balance sheet'!$A$1:$R$82</definedName>
    <definedName name="_xlnm.Print_Area" localSheetId="3">'Cash Flow'!$A$1:$R$74</definedName>
    <definedName name="_xlnm.Print_Area" localSheetId="5">'KPI_segment B2B&amp;B2C'!$A$1:$T$38</definedName>
    <definedName name="_xlnm.Print_Area" localSheetId="0">'P&amp;L'!$A$4:$T$43</definedName>
    <definedName name="OLE_LINK3" localSheetId="3">'Cash Flow'!$A$22</definedName>
    <definedName name="Z_0581D693_F741_454A_848A_FCD54BC91A66_.wvu.Cols" localSheetId="2" hidden="1">'Balance sheet'!$C:$AD</definedName>
    <definedName name="Z_0581D693_F741_454A_848A_FCD54BC91A66_.wvu.Cols" localSheetId="3" hidden="1">'Cash Flow'!$C:$AH</definedName>
    <definedName name="Z_0581D693_F741_454A_848A_FCD54BC91A66_.wvu.Cols" localSheetId="6" hidden="1">'KPI TV &amp; online'!$D:$AF</definedName>
    <definedName name="Z_0581D693_F741_454A_848A_FCD54BC91A66_.wvu.Cols" localSheetId="5" hidden="1">'KPI_segment B2B&amp;B2C'!$C:$AF</definedName>
    <definedName name="Z_0581D693_F741_454A_848A_FCD54BC91A66_.wvu.Cols" localSheetId="0" hidden="1">'P&amp;L'!$C:$AF</definedName>
    <definedName name="Z_0581D693_F741_454A_848A_FCD54BC91A66_.wvu.Cols" localSheetId="1" hidden="1">Segments!$C:$AL,Segments!$AR:$AV</definedName>
    <definedName name="Z_0581D693_F741_454A_848A_FCD54BC91A66_.wvu.PrintArea" localSheetId="2" hidden="1">'Balance sheet'!$A$1:$R$82</definedName>
    <definedName name="Z_0581D693_F741_454A_848A_FCD54BC91A66_.wvu.PrintArea" localSheetId="3" hidden="1">'Cash Flow'!$A$1:$R$74</definedName>
    <definedName name="Z_0581D693_F741_454A_848A_FCD54BC91A66_.wvu.PrintArea" localSheetId="5" hidden="1">'KPI_segment B2B&amp;B2C'!$A$1:$T$38</definedName>
    <definedName name="Z_0581D693_F741_454A_848A_FCD54BC91A66_.wvu.PrintArea" localSheetId="0" hidden="1">'P&amp;L'!$A$4:$T$43</definedName>
    <definedName name="Z_0581D693_F741_454A_848A_FCD54BC91A66_.wvu.Rows" localSheetId="5" hidden="1">'KPI_segment B2B&amp;B2C'!$14:$14</definedName>
    <definedName name="Z_634BFE77_A2AA_4FA6_8ED5_F02244B9F10C_.wvu.Cols" localSheetId="2" hidden="1">'Balance sheet'!$C:$AD</definedName>
    <definedName name="Z_634BFE77_A2AA_4FA6_8ED5_F02244B9F10C_.wvu.Cols" localSheetId="3" hidden="1">'Cash Flow'!$C:$AH</definedName>
    <definedName name="Z_634BFE77_A2AA_4FA6_8ED5_F02244B9F10C_.wvu.Cols" localSheetId="6" hidden="1">'KPI TV &amp; online'!$D:$AF</definedName>
    <definedName name="Z_634BFE77_A2AA_4FA6_8ED5_F02244B9F10C_.wvu.Cols" localSheetId="5" hidden="1">'KPI_segment B2B&amp;B2C'!$C:$AF</definedName>
    <definedName name="Z_634BFE77_A2AA_4FA6_8ED5_F02244B9F10C_.wvu.Cols" localSheetId="0" hidden="1">'P&amp;L'!$C:$AF</definedName>
    <definedName name="Z_634BFE77_A2AA_4FA6_8ED5_F02244B9F10C_.wvu.Cols" localSheetId="1" hidden="1">Segments!$C:$AL,Segments!$AR:$AV</definedName>
    <definedName name="Z_634BFE77_A2AA_4FA6_8ED5_F02244B9F10C_.wvu.PrintArea" localSheetId="2" hidden="1">'Balance sheet'!$A$1:$R$82</definedName>
    <definedName name="Z_634BFE77_A2AA_4FA6_8ED5_F02244B9F10C_.wvu.PrintArea" localSheetId="3" hidden="1">'Cash Flow'!$A$1:$R$74</definedName>
    <definedName name="Z_634BFE77_A2AA_4FA6_8ED5_F02244B9F10C_.wvu.PrintArea" localSheetId="5" hidden="1">'KPI_segment B2B&amp;B2C'!$A$1:$T$38</definedName>
    <definedName name="Z_634BFE77_A2AA_4FA6_8ED5_F02244B9F10C_.wvu.PrintArea" localSheetId="0" hidden="1">'P&amp;L'!$A$4:$T$43</definedName>
    <definedName name="Z_634BFE77_A2AA_4FA6_8ED5_F02244B9F10C_.wvu.Rows" localSheetId="5" hidden="1">'KPI_segment B2B&amp;B2C'!$14:$14</definedName>
    <definedName name="Z_B87BD74C_18F3_4393_BF03_31B25889E08F_.wvu.Cols" localSheetId="3" hidden="1">'Cash Flow'!$C:$AH</definedName>
    <definedName name="Z_B87BD74C_18F3_4393_BF03_31B25889E08F_.wvu.Cols" localSheetId="6" hidden="1">'KPI TV &amp; online'!$D:$AF</definedName>
    <definedName name="Z_B87BD74C_18F3_4393_BF03_31B25889E08F_.wvu.Cols" localSheetId="5" hidden="1">'KPI_segment B2B&amp;B2C'!$C:$AF</definedName>
    <definedName name="Z_B87BD74C_18F3_4393_BF03_31B25889E08F_.wvu.Cols" localSheetId="0" hidden="1">'P&amp;L'!$C:$AF</definedName>
    <definedName name="Z_B87BD74C_18F3_4393_BF03_31B25889E08F_.wvu.Cols" localSheetId="1" hidden="1">Segments!$C:$AL,Segments!$AR:$AV</definedName>
    <definedName name="Z_B87BD74C_18F3_4393_BF03_31B25889E08F_.wvu.PrintArea" localSheetId="2" hidden="1">'Balance sheet'!$A$1:$R$82</definedName>
    <definedName name="Z_B87BD74C_18F3_4393_BF03_31B25889E08F_.wvu.PrintArea" localSheetId="3" hidden="1">'Cash Flow'!$A$1:$R$74</definedName>
    <definedName name="Z_B87BD74C_18F3_4393_BF03_31B25889E08F_.wvu.PrintArea" localSheetId="5" hidden="1">'KPI_segment B2B&amp;B2C'!$A$1:$T$38</definedName>
    <definedName name="Z_B87BD74C_18F3_4393_BF03_31B25889E08F_.wvu.PrintArea" localSheetId="0" hidden="1">'P&amp;L'!$A$4:$T$43</definedName>
    <definedName name="Z_B87BD74C_18F3_4393_BF03_31B25889E08F_.wvu.Rows" localSheetId="5" hidden="1">'KPI_segment B2B&amp;B2C'!$14:$14</definedName>
    <definedName name="Z_ED9E521F_BC9B_4E88_8A9F_5288A046401B_.wvu.Cols" localSheetId="6" hidden="1">'KPI TV &amp; online'!$D:$AF</definedName>
    <definedName name="Z_ED9E521F_BC9B_4E88_8A9F_5288A046401B_.wvu.Cols" localSheetId="1" hidden="1">Segments!$C:$AL,Segments!$AR:$AV</definedName>
    <definedName name="Z_ED9E521F_BC9B_4E88_8A9F_5288A046401B_.wvu.PrintArea" localSheetId="2" hidden="1">'Balance sheet'!$A$1:$R$82</definedName>
    <definedName name="Z_ED9E521F_BC9B_4E88_8A9F_5288A046401B_.wvu.PrintArea" localSheetId="3" hidden="1">'Cash Flow'!$A$1:$R$74</definedName>
    <definedName name="Z_ED9E521F_BC9B_4E88_8A9F_5288A046401B_.wvu.PrintArea" localSheetId="5" hidden="1">'KPI_segment B2B&amp;B2C'!$A$1:$T$38</definedName>
    <definedName name="Z_ED9E521F_BC9B_4E88_8A9F_5288A046401B_.wvu.PrintArea" localSheetId="0" hidden="1">'P&amp;L'!$A$4:$T$43</definedName>
    <definedName name="Z_ED9E521F_BC9B_4E88_8A9F_5288A046401B_.wvu.Rows" localSheetId="5" hidden="1">'KPI_segment B2B&amp;B2C'!$14:$14</definedName>
  </definedNames>
  <calcPr calcId="162913"/>
  <customWorkbookViews>
    <customWorkbookView name="Agata Wiktorow-Sobczuk - Widok osobisty" guid="{ED9E521F-BC9B-4E88-8A9F-5288A046401B}" mergeInterval="0" personalView="1" maximized="1" xWindow="1912" yWindow="2" windowWidth="1936" windowHeight="1056" tabRatio="597" activeSheetId="1"/>
    <customWorkbookView name="Grzegorz Para - Widok osobisty" guid="{634BFE77-A2AA-4FA6-8ED5-F02244B9F10C}" mergeInterval="0" personalView="1" maximized="1" xWindow="-8" yWindow="-8" windowWidth="1936" windowHeight="1056" activeSheetId="1"/>
    <customWorkbookView name="Anna Kuchnio - Widok osobisty" guid="{0581D693-F741-454A-848A-FCD54BC91A66}" mergeInterval="0" personalView="1" xWindow="-2295" yWindow="-56" windowWidth="1251" windowHeight="1134" activeSheetId="4"/>
    <customWorkbookView name="egieniusz - Widok osobisty" guid="{B87BD74C-18F3-4393-BF03-31B25889E08F}" mergeInterval="0" personalView="1" maximized="1" xWindow="-8" yWindow="-8" windowWidth="1936" windowHeight="1056"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4" i="7" l="1"/>
  <c r="BJ5" i="7"/>
  <c r="BJ6" i="7"/>
  <c r="BJ7" i="7"/>
  <c r="BJ8" i="7"/>
  <c r="BJ9" i="7"/>
  <c r="BK9" i="7"/>
  <c r="BK8" i="7"/>
  <c r="BK7" i="7"/>
  <c r="BK6" i="7"/>
  <c r="BK5" i="7"/>
  <c r="BK4" i="7"/>
  <c r="BH34" i="1" l="1"/>
  <c r="BC10" i="1"/>
  <c r="BA10" i="1"/>
  <c r="BG10" i="1"/>
  <c r="BH10" i="1"/>
  <c r="AW13" i="6" l="1"/>
  <c r="BH8" i="2" l="1"/>
  <c r="BH6" i="2"/>
  <c r="BH18" i="2" l="1"/>
  <c r="BH17" i="2"/>
  <c r="BH21" i="2"/>
  <c r="BH20" i="2"/>
  <c r="BH15" i="2"/>
  <c r="BH14" i="2"/>
  <c r="BH7" i="2"/>
  <c r="AN35" i="3" l="1"/>
  <c r="AZ26" i="5" l="1"/>
  <c r="AZ25" i="5"/>
  <c r="AZ16" i="5"/>
  <c r="AZ15" i="5"/>
  <c r="AZ11" i="5"/>
  <c r="AZ12" i="5"/>
  <c r="AZ10" i="5"/>
  <c r="AZ9" i="5"/>
  <c r="AZ8" i="5"/>
  <c r="AM35" i="3" l="1"/>
  <c r="BG13" i="2" l="1"/>
  <c r="BH5" i="2"/>
  <c r="BI5" i="2"/>
  <c r="BJ5" i="2"/>
  <c r="BG5" i="2"/>
  <c r="AM49" i="3" l="1"/>
  <c r="AV7" i="5" l="1"/>
  <c r="AV28" i="6" l="1"/>
  <c r="AV19" i="6"/>
  <c r="AZ13" i="6"/>
  <c r="AY13" i="6"/>
  <c r="AX13" i="6"/>
  <c r="AV13" i="6"/>
  <c r="AY29" i="5"/>
  <c r="AX29" i="5"/>
  <c r="AW29" i="5"/>
  <c r="AV29" i="5"/>
  <c r="AY24" i="5"/>
  <c r="AX24" i="5"/>
  <c r="AV24" i="5"/>
  <c r="AY17" i="5"/>
  <c r="AX17" i="5"/>
  <c r="AW17" i="5"/>
  <c r="AV17" i="5"/>
  <c r="AY7" i="5"/>
  <c r="AX7" i="5"/>
  <c r="AW7" i="5"/>
  <c r="AZ7" i="5" s="1"/>
  <c r="AS64" i="4"/>
  <c r="AS51" i="4"/>
  <c r="AT64" i="4"/>
  <c r="AR64" i="4"/>
  <c r="AQ64" i="4"/>
  <c r="AT51" i="4"/>
  <c r="AR51" i="4"/>
  <c r="AQ51" i="4"/>
  <c r="AT6" i="4"/>
  <c r="AT30" i="4" s="1"/>
  <c r="AT33" i="4" s="1"/>
  <c r="AS6" i="4"/>
  <c r="AS30" i="4" s="1"/>
  <c r="AS33" i="4" s="1"/>
  <c r="AR6" i="4"/>
  <c r="AQ6" i="4"/>
  <c r="AP73" i="3"/>
  <c r="AO73" i="3"/>
  <c r="AN73" i="3"/>
  <c r="AM73" i="3"/>
  <c r="AP60" i="3"/>
  <c r="AO60" i="3"/>
  <c r="AN60" i="3"/>
  <c r="AM60" i="3"/>
  <c r="AP49" i="3"/>
  <c r="AP51" i="3" s="1"/>
  <c r="AO49" i="3"/>
  <c r="AO51" i="3" s="1"/>
  <c r="AN49" i="3"/>
  <c r="AN51" i="3" s="1"/>
  <c r="AM51" i="3"/>
  <c r="AP35" i="3"/>
  <c r="AO35" i="3"/>
  <c r="AP22" i="3"/>
  <c r="AO22" i="3"/>
  <c r="AN22" i="3"/>
  <c r="AN38" i="3" s="1"/>
  <c r="AM22" i="3"/>
  <c r="AM38" i="3" s="1"/>
  <c r="BK33" i="1"/>
  <c r="BK29" i="1"/>
  <c r="BK28" i="1"/>
  <c r="BK26" i="1"/>
  <c r="BK24" i="1"/>
  <c r="BK23" i="1"/>
  <c r="BK22" i="1"/>
  <c r="BK21" i="1"/>
  <c r="BK19" i="1"/>
  <c r="BK18" i="1"/>
  <c r="BK17" i="1"/>
  <c r="BK16" i="1"/>
  <c r="BK15" i="1"/>
  <c r="BK14" i="1"/>
  <c r="BK13" i="1"/>
  <c r="BK12" i="1"/>
  <c r="BK11" i="1"/>
  <c r="BJ10" i="1"/>
  <c r="BI10" i="1"/>
  <c r="BK9" i="1"/>
  <c r="BK8" i="1"/>
  <c r="BK7" i="1"/>
  <c r="BK6" i="1"/>
  <c r="BJ5" i="1"/>
  <c r="BI5" i="1"/>
  <c r="BI20" i="1" s="1"/>
  <c r="BH5" i="1"/>
  <c r="BH20" i="1" s="1"/>
  <c r="BH25" i="1" s="1"/>
  <c r="BG5" i="1"/>
  <c r="BK21" i="2"/>
  <c r="BK20" i="2"/>
  <c r="BJ19" i="2"/>
  <c r="BJ22" i="2" s="1"/>
  <c r="BI19" i="2"/>
  <c r="BI22" i="2" s="1"/>
  <c r="BH19" i="2"/>
  <c r="BH22" i="2" s="1"/>
  <c r="BG19" i="2"/>
  <c r="BG22" i="2" s="1"/>
  <c r="BK18" i="2"/>
  <c r="BK17" i="2"/>
  <c r="BJ16" i="2"/>
  <c r="BI16" i="2"/>
  <c r="BH16" i="2"/>
  <c r="BG16" i="2"/>
  <c r="BK15" i="2"/>
  <c r="BK14" i="2"/>
  <c r="BJ13" i="2"/>
  <c r="BI13" i="2"/>
  <c r="BH13" i="2"/>
  <c r="BK12" i="2"/>
  <c r="BK11" i="2"/>
  <c r="BK10" i="2"/>
  <c r="BK8" i="2"/>
  <c r="BK7" i="2"/>
  <c r="BK6" i="2"/>
  <c r="AN76" i="3" l="1"/>
  <c r="AN77" i="3" s="1"/>
  <c r="AM76" i="3"/>
  <c r="AM77" i="3" s="1"/>
  <c r="AO76" i="3"/>
  <c r="AO77" i="3" s="1"/>
  <c r="AP76" i="3"/>
  <c r="AP77" i="3" s="1"/>
  <c r="AO38" i="3"/>
  <c r="AP38" i="3"/>
  <c r="BK9" i="2"/>
  <c r="AX5" i="5"/>
  <c r="BK13" i="2"/>
  <c r="BG20" i="1"/>
  <c r="BG31" i="1" s="1"/>
  <c r="BK5" i="1"/>
  <c r="BK19" i="2"/>
  <c r="AS65" i="4"/>
  <c r="AS69" i="4" s="1"/>
  <c r="AY5" i="5"/>
  <c r="AV5" i="5"/>
  <c r="AT65" i="4"/>
  <c r="AT69" i="4" s="1"/>
  <c r="BK10" i="1"/>
  <c r="BJ20" i="1"/>
  <c r="BJ31" i="1" s="1"/>
  <c r="BH27" i="1"/>
  <c r="BH30" i="1" s="1"/>
  <c r="BH31" i="1"/>
  <c r="BH32" i="1" s="1"/>
  <c r="BI25" i="1"/>
  <c r="BI27" i="1" s="1"/>
  <c r="BI31" i="1"/>
  <c r="BK16" i="2"/>
  <c r="BK5" i="2"/>
  <c r="AM19" i="2"/>
  <c r="BK22" i="2" l="1"/>
  <c r="BG32" i="1"/>
  <c r="BG34" i="1"/>
  <c r="BG35" i="1" s="1"/>
  <c r="BG25" i="1"/>
  <c r="BG27" i="1" s="1"/>
  <c r="BK20" i="1"/>
  <c r="BK25" i="1" s="1"/>
  <c r="BK27" i="1" s="1"/>
  <c r="BK30" i="1" s="1"/>
  <c r="BH35" i="1"/>
  <c r="BJ25" i="1"/>
  <c r="BJ27" i="1" s="1"/>
  <c r="BJ32" i="1"/>
  <c r="BJ34" i="1"/>
  <c r="BJ35" i="1" s="1"/>
  <c r="BI32" i="1"/>
  <c r="BI34" i="1"/>
  <c r="BI35" i="1" s="1"/>
  <c r="AU32" i="6"/>
  <c r="AU33" i="6"/>
  <c r="AU34" i="6"/>
  <c r="AU31" i="6"/>
  <c r="AU22" i="6"/>
  <c r="AU23" i="6"/>
  <c r="AU24" i="6"/>
  <c r="AU25" i="6"/>
  <c r="AU21" i="6"/>
  <c r="AU30" i="6"/>
  <c r="BG30" i="1" l="1"/>
  <c r="AQ5" i="4"/>
  <c r="BK31" i="1"/>
  <c r="BK34" i="1" s="1"/>
  <c r="BK35" i="1" s="1"/>
  <c r="AV22" i="2"/>
  <c r="AU22" i="2"/>
  <c r="AT22" i="2"/>
  <c r="AS22" i="2"/>
  <c r="AR22" i="2"/>
  <c r="BF21" i="2"/>
  <c r="BA21" i="2"/>
  <c r="AQ21" i="2"/>
  <c r="BF20" i="2"/>
  <c r="BA20" i="2"/>
  <c r="AQ20" i="2"/>
  <c r="BE19" i="2"/>
  <c r="BD19" i="2"/>
  <c r="BC19" i="2"/>
  <c r="BB19" i="2"/>
  <c r="AZ19" i="2"/>
  <c r="AY19" i="2"/>
  <c r="AX19" i="2"/>
  <c r="AW19" i="2"/>
  <c r="AP19" i="2"/>
  <c r="AO19" i="2"/>
  <c r="AN19" i="2"/>
  <c r="BF18" i="2"/>
  <c r="BA18" i="2"/>
  <c r="AQ18" i="2"/>
  <c r="BF17" i="2"/>
  <c r="BA17" i="2"/>
  <c r="AQ17" i="2"/>
  <c r="BE16" i="2"/>
  <c r="BD16" i="2"/>
  <c r="BC16" i="2"/>
  <c r="BB16" i="2"/>
  <c r="AZ16" i="2"/>
  <c r="AY16" i="2"/>
  <c r="AX16" i="2"/>
  <c r="AW16" i="2"/>
  <c r="AV16" i="2"/>
  <c r="AU16" i="2"/>
  <c r="AT16" i="2"/>
  <c r="AS16" i="2"/>
  <c r="AR16" i="2"/>
  <c r="AP16" i="2"/>
  <c r="AO16" i="2"/>
  <c r="AN16" i="2"/>
  <c r="AM16" i="2"/>
  <c r="BF15" i="2"/>
  <c r="BA15" i="2"/>
  <c r="AQ15" i="2"/>
  <c r="BF14" i="2"/>
  <c r="BA14" i="2"/>
  <c r="AQ14" i="2"/>
  <c r="BE13" i="2"/>
  <c r="BD13" i="2"/>
  <c r="BC13" i="2"/>
  <c r="BB13" i="2"/>
  <c r="BB9" i="2" s="1"/>
  <c r="AZ13" i="2"/>
  <c r="AY13" i="2"/>
  <c r="AX13" i="2"/>
  <c r="AW13" i="2"/>
  <c r="AP13" i="2"/>
  <c r="AO13" i="2"/>
  <c r="AN13" i="2"/>
  <c r="AM13" i="2"/>
  <c r="BF11" i="2"/>
  <c r="BF10" i="2"/>
  <c r="BE9" i="2"/>
  <c r="BD9" i="2"/>
  <c r="BC9" i="2"/>
  <c r="BF8" i="2"/>
  <c r="BA8" i="2"/>
  <c r="AQ8" i="2"/>
  <c r="BF7" i="2"/>
  <c r="BA7" i="2"/>
  <c r="AQ7" i="2"/>
  <c r="BF6" i="2"/>
  <c r="BA6" i="2"/>
  <c r="AQ6" i="2"/>
  <c r="BD5" i="2"/>
  <c r="BC5" i="2"/>
  <c r="BB5" i="2"/>
  <c r="AZ5" i="2"/>
  <c r="AY5" i="2"/>
  <c r="AX5" i="2"/>
  <c r="AW5" i="2"/>
  <c r="AP5" i="2"/>
  <c r="AO5" i="2"/>
  <c r="AN5" i="2"/>
  <c r="AM5" i="2"/>
  <c r="AQ30" i="4" l="1"/>
  <c r="AQ33" i="4" s="1"/>
  <c r="AQ65" i="4" s="1"/>
  <c r="AR5" i="4"/>
  <c r="AR30" i="4" s="1"/>
  <c r="AR33" i="4" s="1"/>
  <c r="AR65" i="4" s="1"/>
  <c r="AR69" i="4" s="1"/>
  <c r="AQ16" i="2"/>
  <c r="BA5" i="2"/>
  <c r="BK32" i="1"/>
  <c r="BA16" i="2"/>
  <c r="AP22" i="2"/>
  <c r="BA13" i="2"/>
  <c r="BF13" i="2"/>
  <c r="BF19" i="2"/>
  <c r="BD22" i="2"/>
  <c r="AX22" i="2"/>
  <c r="AQ5" i="2"/>
  <c r="BB22" i="2"/>
  <c r="BF9" i="2"/>
  <c r="BF12" i="2"/>
  <c r="AY22" i="2"/>
  <c r="BF16" i="2"/>
  <c r="AZ22" i="2"/>
  <c r="AW22" i="2"/>
  <c r="BF5" i="2"/>
  <c r="AQ19" i="2"/>
  <c r="AN22" i="2"/>
  <c r="BC22" i="2"/>
  <c r="AQ13" i="2"/>
  <c r="AO22" i="2"/>
  <c r="BE5" i="2"/>
  <c r="BE22" i="2" s="1"/>
  <c r="AM22" i="2"/>
  <c r="BA19" i="2"/>
  <c r="BA22" i="2" l="1"/>
  <c r="AQ22" i="2"/>
  <c r="BF22" i="2"/>
  <c r="AT13" i="6"/>
  <c r="AL73" i="3" l="1"/>
  <c r="AL35" i="3" l="1"/>
  <c r="BF24" i="1"/>
  <c r="BF21" i="1"/>
  <c r="AS13" i="6" l="1"/>
  <c r="AR13" i="6"/>
  <c r="AQ13" i="6"/>
  <c r="AP13" i="6"/>
  <c r="AO13" i="6"/>
  <c r="AN13" i="6"/>
  <c r="AM13" i="6"/>
  <c r="AL13" i="6"/>
  <c r="AK13" i="6"/>
  <c r="AJ13" i="6"/>
  <c r="AI13" i="6"/>
  <c r="AH13" i="6"/>
  <c r="AG13" i="6"/>
  <c r="AU13" i="6"/>
  <c r="BE10" i="1" l="1"/>
  <c r="AU27" i="5" l="1"/>
  <c r="AU26" i="5"/>
  <c r="AU25" i="5"/>
  <c r="AU16" i="5"/>
  <c r="AU15" i="5"/>
  <c r="AU12" i="5"/>
  <c r="AU11" i="5"/>
  <c r="AU10" i="5"/>
  <c r="AU9" i="5"/>
  <c r="AU8" i="5"/>
  <c r="L32" i="5"/>
  <c r="L31" i="5"/>
  <c r="L30"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K29" i="5"/>
  <c r="J29" i="5"/>
  <c r="I29" i="5"/>
  <c r="H29" i="5"/>
  <c r="AF27" i="5"/>
  <c r="AA27" i="5"/>
  <c r="V27" i="5"/>
  <c r="L27" i="5"/>
  <c r="AF26" i="5"/>
  <c r="AA26" i="5"/>
  <c r="V26" i="5"/>
  <c r="L26" i="5"/>
  <c r="AF25" i="5"/>
  <c r="AA25" i="5"/>
  <c r="V25" i="5"/>
  <c r="L25" i="5"/>
  <c r="AT24" i="5"/>
  <c r="AS24" i="5"/>
  <c r="AR24" i="5"/>
  <c r="AQ24" i="5"/>
  <c r="AP24" i="5"/>
  <c r="AO24" i="5"/>
  <c r="AN24" i="5"/>
  <c r="AM24" i="5"/>
  <c r="AL24" i="5"/>
  <c r="AK24" i="5"/>
  <c r="AJ24" i="5"/>
  <c r="AI24" i="5"/>
  <c r="AI5" i="5" s="1"/>
  <c r="AH24" i="5"/>
  <c r="AH5" i="5" s="1"/>
  <c r="AG24" i="5"/>
  <c r="AE24" i="5"/>
  <c r="AD24" i="5"/>
  <c r="AC24" i="5"/>
  <c r="AB24" i="5"/>
  <c r="Z24" i="5"/>
  <c r="Y24" i="5"/>
  <c r="X24" i="5"/>
  <c r="W24" i="5"/>
  <c r="U24" i="5"/>
  <c r="T24" i="5"/>
  <c r="S24" i="5"/>
  <c r="R24" i="5"/>
  <c r="Q24" i="5"/>
  <c r="P24" i="5"/>
  <c r="O24" i="5"/>
  <c r="N24" i="5"/>
  <c r="M24" i="5"/>
  <c r="K24" i="5"/>
  <c r="J24" i="5"/>
  <c r="I24" i="5"/>
  <c r="H24" i="5"/>
  <c r="L22" i="5"/>
  <c r="G22" i="5"/>
  <c r="L21" i="5"/>
  <c r="G21" i="5"/>
  <c r="L20" i="5"/>
  <c r="G20" i="5"/>
  <c r="L19" i="5"/>
  <c r="G19" i="5"/>
  <c r="L18" i="5"/>
  <c r="G18"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K17" i="5"/>
  <c r="J17" i="5"/>
  <c r="I17" i="5"/>
  <c r="H17" i="5"/>
  <c r="F17" i="5"/>
  <c r="E17" i="5"/>
  <c r="D17" i="5"/>
  <c r="C17" i="5"/>
  <c r="AP16" i="5"/>
  <c r="AA16" i="5"/>
  <c r="AP15" i="5"/>
  <c r="O15" i="5"/>
  <c r="L15" i="5"/>
  <c r="G15" i="5"/>
  <c r="AP12" i="5"/>
  <c r="AF12" i="5"/>
  <c r="AA12" i="5"/>
  <c r="V12" i="5"/>
  <c r="L12" i="5"/>
  <c r="G12" i="5"/>
  <c r="AP11" i="5"/>
  <c r="AF11" i="5"/>
  <c r="AA11" i="5"/>
  <c r="V11" i="5"/>
  <c r="L11" i="5"/>
  <c r="G11" i="5"/>
  <c r="AP10" i="5"/>
  <c r="AF10" i="5"/>
  <c r="AA10" i="5"/>
  <c r="V10" i="5"/>
  <c r="L10" i="5"/>
  <c r="G10" i="5"/>
  <c r="AP9" i="5"/>
  <c r="AF9" i="5"/>
  <c r="AA9" i="5"/>
  <c r="V9" i="5"/>
  <c r="L9" i="5"/>
  <c r="G9" i="5"/>
  <c r="AP8" i="5"/>
  <c r="AF8" i="5"/>
  <c r="AA8" i="5"/>
  <c r="V8" i="5"/>
  <c r="L8" i="5"/>
  <c r="G8" i="5"/>
  <c r="AT7" i="5"/>
  <c r="AS7" i="5"/>
  <c r="AR7" i="5"/>
  <c r="AQ7" i="5"/>
  <c r="AO7" i="5"/>
  <c r="AN7" i="5"/>
  <c r="AM7" i="5"/>
  <c r="AL7" i="5"/>
  <c r="AK7" i="5"/>
  <c r="AJ7" i="5"/>
  <c r="AG7" i="5"/>
  <c r="AE7" i="5"/>
  <c r="AD7" i="5"/>
  <c r="AC7" i="5"/>
  <c r="AB7" i="5"/>
  <c r="Z7" i="5"/>
  <c r="Y7" i="5"/>
  <c r="X7" i="5"/>
  <c r="W7" i="5"/>
  <c r="U7" i="5"/>
  <c r="T7" i="5"/>
  <c r="S7" i="5"/>
  <c r="R7" i="5"/>
  <c r="R16" i="5" s="1"/>
  <c r="Q7" i="5"/>
  <c r="P7" i="5"/>
  <c r="O7" i="5"/>
  <c r="N7" i="5"/>
  <c r="N16" i="5" s="1"/>
  <c r="M7" i="5"/>
  <c r="K7" i="5"/>
  <c r="K16" i="5" s="1"/>
  <c r="J7" i="5"/>
  <c r="J16" i="5" s="1"/>
  <c r="I7" i="5"/>
  <c r="I16" i="5" s="1"/>
  <c r="H7" i="5"/>
  <c r="H16" i="5" s="1"/>
  <c r="F7" i="5"/>
  <c r="F16" i="5" s="1"/>
  <c r="E7" i="5"/>
  <c r="E16" i="5" s="1"/>
  <c r="D7" i="5"/>
  <c r="D16" i="5" s="1"/>
  <c r="C7" i="5"/>
  <c r="C16" i="5" s="1"/>
  <c r="AB5" i="5" l="1"/>
  <c r="AK5" i="5"/>
  <c r="Q5" i="5"/>
  <c r="AM5" i="5"/>
  <c r="K5" i="5"/>
  <c r="Y5" i="5"/>
  <c r="AU24" i="5"/>
  <c r="AL5" i="5"/>
  <c r="S5" i="5"/>
  <c r="AC5" i="5"/>
  <c r="AR5" i="5"/>
  <c r="AJ5" i="5"/>
  <c r="AS5" i="5"/>
  <c r="AA24" i="5"/>
  <c r="L29" i="5"/>
  <c r="AN5" i="5"/>
  <c r="L17" i="5"/>
  <c r="AP7" i="5"/>
  <c r="AP5" i="5" s="1"/>
  <c r="G17" i="5"/>
  <c r="AO5" i="5"/>
  <c r="M5" i="5"/>
  <c r="U5" i="5"/>
  <c r="AE5" i="5"/>
  <c r="AQ5" i="5"/>
  <c r="T5" i="5"/>
  <c r="P5" i="5"/>
  <c r="AD5" i="5"/>
  <c r="V7" i="5"/>
  <c r="G7" i="5"/>
  <c r="G16" i="5" s="1"/>
  <c r="AG5" i="5"/>
  <c r="L24" i="5"/>
  <c r="V24" i="5"/>
  <c r="AU7" i="5"/>
  <c r="AF24" i="5"/>
  <c r="O5" i="5"/>
  <c r="W5" i="5"/>
  <c r="M16" i="5"/>
  <c r="X5" i="5"/>
  <c r="Z5" i="5"/>
  <c r="I5" i="5"/>
  <c r="AF7" i="5"/>
  <c r="R5" i="5"/>
  <c r="AA7" i="5"/>
  <c r="J5" i="5"/>
  <c r="AT5" i="5"/>
  <c r="L7" i="5"/>
  <c r="L16" i="5" s="1"/>
  <c r="N5" i="5"/>
  <c r="H5" i="5"/>
  <c r="BF28" i="1"/>
  <c r="AU5" i="5" l="1"/>
  <c r="V5" i="5"/>
  <c r="AA5" i="5"/>
  <c r="AF5" i="5"/>
  <c r="L5" i="5"/>
  <c r="AN57" i="4"/>
  <c r="BF33" i="1" l="1"/>
  <c r="BF22" i="1" l="1"/>
  <c r="AN6" i="4"/>
  <c r="AN30" i="4" s="1"/>
  <c r="AN33" i="4" s="1"/>
  <c r="AO6" i="4"/>
  <c r="AO30" i="4" s="1"/>
  <c r="AP6" i="4"/>
  <c r="AP30" i="4" s="1"/>
  <c r="AP33" i="4" s="1"/>
  <c r="AN51" i="4"/>
  <c r="AP51" i="4"/>
  <c r="AN64" i="4"/>
  <c r="AP64" i="4"/>
  <c r="AM64" i="4"/>
  <c r="AM51" i="4"/>
  <c r="AM6" i="4"/>
  <c r="AK73" i="3"/>
  <c r="AJ73" i="3"/>
  <c r="AI73" i="3"/>
  <c r="AL60" i="3"/>
  <c r="AK60" i="3"/>
  <c r="AJ60" i="3"/>
  <c r="AI60" i="3"/>
  <c r="AL49" i="3"/>
  <c r="AL51" i="3" s="1"/>
  <c r="AK49" i="3"/>
  <c r="AK51" i="3" s="1"/>
  <c r="AJ49" i="3"/>
  <c r="AJ51" i="3" s="1"/>
  <c r="AI49" i="3"/>
  <c r="AI51" i="3" s="1"/>
  <c r="AK35" i="3"/>
  <c r="AJ35" i="3"/>
  <c r="AI35" i="3"/>
  <c r="AL22" i="3"/>
  <c r="AK22" i="3"/>
  <c r="AJ22" i="3"/>
  <c r="AI22" i="3"/>
  <c r="BF29" i="1"/>
  <c r="BF26" i="1"/>
  <c r="BF23" i="1"/>
  <c r="BF19" i="1"/>
  <c r="BF18" i="1"/>
  <c r="BF17" i="1"/>
  <c r="BF16" i="1"/>
  <c r="BF15" i="1"/>
  <c r="BF14" i="1"/>
  <c r="BF13" i="1"/>
  <c r="BF12" i="1"/>
  <c r="BF11" i="1"/>
  <c r="BD10" i="1"/>
  <c r="BB10" i="1"/>
  <c r="BF9" i="1"/>
  <c r="BF8" i="1"/>
  <c r="BF7" i="1"/>
  <c r="BF6" i="1"/>
  <c r="BE5" i="1"/>
  <c r="BD5" i="1"/>
  <c r="BC5" i="1"/>
  <c r="BB5" i="1"/>
  <c r="AL38" i="3" l="1"/>
  <c r="BE20" i="1"/>
  <c r="BE25" i="1" s="1"/>
  <c r="BE27" i="1" s="1"/>
  <c r="BE30" i="1" s="1"/>
  <c r="AK38" i="3"/>
  <c r="BD20" i="1"/>
  <c r="BD25" i="1" s="1"/>
  <c r="BD27" i="1" s="1"/>
  <c r="BD30" i="1" s="1"/>
  <c r="AK76" i="3"/>
  <c r="AK77" i="3" s="1"/>
  <c r="AJ76" i="3"/>
  <c r="AJ77" i="3" s="1"/>
  <c r="BC20" i="1"/>
  <c r="BC31" i="1" s="1"/>
  <c r="BF5" i="1"/>
  <c r="AP65" i="4"/>
  <c r="AP69" i="4" s="1"/>
  <c r="AQ66" i="4" s="1"/>
  <c r="AQ69" i="4" s="1"/>
  <c r="AO69" i="4"/>
  <c r="AN65" i="4"/>
  <c r="AN69" i="4" s="1"/>
  <c r="AI38" i="3"/>
  <c r="AJ38" i="3"/>
  <c r="AL76" i="3"/>
  <c r="AL77" i="3" s="1"/>
  <c r="AI76" i="3"/>
  <c r="AI77" i="3" s="1"/>
  <c r="BF10" i="1"/>
  <c r="BB20" i="1"/>
  <c r="BB25" i="1" s="1"/>
  <c r="BB27" i="1" s="1"/>
  <c r="BB30" i="1" s="1"/>
  <c r="AL64" i="4"/>
  <c r="AZ5" i="1"/>
  <c r="AZ10" i="1"/>
  <c r="AU10" i="1"/>
  <c r="AU5" i="1"/>
  <c r="BC32" i="1" l="1"/>
  <c r="BC34" i="1"/>
  <c r="BC35" i="1" s="1"/>
  <c r="BE31" i="1"/>
  <c r="BD31" i="1"/>
  <c r="BC25" i="1"/>
  <c r="BC27" i="1" s="1"/>
  <c r="BC30" i="1" s="1"/>
  <c r="AM5" i="4"/>
  <c r="AM30" i="4" s="1"/>
  <c r="AM33" i="4" s="1"/>
  <c r="AM65" i="4" s="1"/>
  <c r="BF20" i="1"/>
  <c r="BF25" i="1" s="1"/>
  <c r="BF27" i="1" s="1"/>
  <c r="BF30" i="1" s="1"/>
  <c r="BB31" i="1"/>
  <c r="BB32" i="1" s="1"/>
  <c r="AU20" i="1"/>
  <c r="AU31" i="1" s="1"/>
  <c r="AU32" i="1" s="1"/>
  <c r="AZ20" i="1"/>
  <c r="AZ25" i="1" s="1"/>
  <c r="AZ27" i="1" s="1"/>
  <c r="BE32" i="1" l="1"/>
  <c r="BE34" i="1"/>
  <c r="BE35" i="1" s="1"/>
  <c r="BD32" i="1"/>
  <c r="BD34" i="1"/>
  <c r="BD35" i="1" s="1"/>
  <c r="BF31" i="1"/>
  <c r="AU25" i="1"/>
  <c r="AU27" i="1" s="1"/>
  <c r="AZ31" i="1"/>
  <c r="AZ32" i="1" s="1"/>
  <c r="BF32" i="1" l="1"/>
  <c r="BF34" i="1"/>
  <c r="BF35" i="1" s="1"/>
  <c r="AG43" i="4"/>
  <c r="AY10" i="1"/>
  <c r="AY5" i="1"/>
  <c r="AT10" i="1"/>
  <c r="AT5" i="1"/>
  <c r="AY20" i="1" l="1"/>
  <c r="AY25" i="1" s="1"/>
  <c r="AY27" i="1" s="1"/>
  <c r="AT20" i="1"/>
  <c r="AT25" i="1" s="1"/>
  <c r="AT27" i="1" s="1"/>
  <c r="AJ64" i="4"/>
  <c r="AJ51" i="4"/>
  <c r="AJ6" i="4"/>
  <c r="AJ30" i="4" s="1"/>
  <c r="AJ33" i="4" s="1"/>
  <c r="AF64" i="4"/>
  <c r="AF51" i="4"/>
  <c r="AF6" i="4"/>
  <c r="AF30" i="4" s="1"/>
  <c r="AF33" i="4" s="1"/>
  <c r="AT31" i="1" l="1"/>
  <c r="AT32" i="1" s="1"/>
  <c r="AY31" i="1"/>
  <c r="AY32" i="1" s="1"/>
  <c r="AJ65" i="4"/>
  <c r="AF65" i="4"/>
  <c r="AX10" i="1" l="1"/>
  <c r="AX5" i="1"/>
  <c r="AX20" i="1" l="1"/>
  <c r="AX25" i="1" s="1"/>
  <c r="AX27" i="1" s="1"/>
  <c r="AS10" i="1"/>
  <c r="AS5" i="1"/>
  <c r="AX31" i="1" l="1"/>
  <c r="AX32" i="1" s="1"/>
  <c r="AS20" i="1"/>
  <c r="AS25" i="1" s="1"/>
  <c r="AS27" i="1" s="1"/>
  <c r="AK64" i="4"/>
  <c r="AI64" i="4"/>
  <c r="AL51" i="4"/>
  <c r="AK51" i="4"/>
  <c r="AI51" i="4"/>
  <c r="AL6" i="4"/>
  <c r="AL30" i="4" s="1"/>
  <c r="AL33" i="4" s="1"/>
  <c r="AK6" i="4"/>
  <c r="AK30" i="4" s="1"/>
  <c r="AK33" i="4" s="1"/>
  <c r="AI6" i="4"/>
  <c r="AI30" i="4" s="1"/>
  <c r="AI33" i="4" s="1"/>
  <c r="AL65" i="4" l="1"/>
  <c r="AK65" i="4"/>
  <c r="AS31" i="1"/>
  <c r="AS32" i="1" s="1"/>
  <c r="AI65" i="4"/>
  <c r="AI69" i="4" s="1"/>
  <c r="AW10" i="1"/>
  <c r="AE22" i="3" l="1"/>
  <c r="AC22" i="3"/>
  <c r="Z22" i="3"/>
  <c r="AA22" i="3"/>
  <c r="AR10" i="1" l="1"/>
  <c r="AQ26" i="1"/>
  <c r="AE60" i="3"/>
  <c r="AE49" i="3"/>
  <c r="AD49" i="3"/>
  <c r="AE35" i="3"/>
  <c r="AC35" i="3"/>
  <c r="AD35" i="3"/>
  <c r="AD22" i="3"/>
  <c r="AE51" i="4" l="1"/>
  <c r="AG64" i="4"/>
  <c r="AE6" i="4"/>
  <c r="AG51" i="4"/>
  <c r="AH51" i="4"/>
  <c r="AE64" i="4"/>
  <c r="AH64" i="4"/>
  <c r="AG6" i="4"/>
  <c r="AG30" i="4" s="1"/>
  <c r="AG33" i="4" s="1"/>
  <c r="AH6" i="4"/>
  <c r="AH30" i="4" s="1"/>
  <c r="AH33" i="4" s="1"/>
  <c r="AD6" i="4"/>
  <c r="AH65" i="4" l="1"/>
  <c r="AG65" i="4"/>
  <c r="AE30" i="4"/>
  <c r="AE33" i="4" l="1"/>
  <c r="AE65" i="4" l="1"/>
  <c r="AE69" i="4" l="1"/>
  <c r="AH73" i="3" l="1"/>
  <c r="AG73" i="3"/>
  <c r="AF73" i="3"/>
  <c r="AE73" i="3"/>
  <c r="AH60" i="3"/>
  <c r="AG60" i="3"/>
  <c r="AF60" i="3"/>
  <c r="AH49" i="3"/>
  <c r="AH51" i="3" s="1"/>
  <c r="AG49" i="3"/>
  <c r="AG51" i="3" s="1"/>
  <c r="AF49" i="3"/>
  <c r="AF51" i="3" s="1"/>
  <c r="AE51" i="3"/>
  <c r="AH35" i="3"/>
  <c r="AG35" i="3"/>
  <c r="AF35" i="3"/>
  <c r="AH22" i="3"/>
  <c r="AG22" i="3"/>
  <c r="AF22" i="3"/>
  <c r="BA29" i="1"/>
  <c r="BA28" i="1"/>
  <c r="BA26" i="1"/>
  <c r="BA24" i="1"/>
  <c r="BA23" i="1"/>
  <c r="BA22" i="1"/>
  <c r="BA21" i="1"/>
  <c r="BA19" i="1"/>
  <c r="BA18" i="1"/>
  <c r="BA17" i="1"/>
  <c r="BA16" i="1"/>
  <c r="BA15" i="1"/>
  <c r="BA14" i="1"/>
  <c r="BA13" i="1"/>
  <c r="BA12" i="1"/>
  <c r="BA11" i="1"/>
  <c r="BA9" i="1"/>
  <c r="BA8" i="1"/>
  <c r="BA7" i="1"/>
  <c r="BA6" i="1"/>
  <c r="AW5" i="1"/>
  <c r="AW20" i="1" s="1"/>
  <c r="AW25" i="1" s="1"/>
  <c r="AV26" i="1"/>
  <c r="AV24" i="1"/>
  <c r="AV23" i="1"/>
  <c r="AV22" i="1"/>
  <c r="AV21" i="1"/>
  <c r="AV19" i="1"/>
  <c r="AV18" i="1"/>
  <c r="AV17" i="1"/>
  <c r="AV16" i="1"/>
  <c r="AV15" i="1"/>
  <c r="AV14" i="1"/>
  <c r="AV13" i="1"/>
  <c r="AV12" i="1"/>
  <c r="AV11" i="1"/>
  <c r="AV9" i="1"/>
  <c r="AV8" i="1"/>
  <c r="AV7" i="1"/>
  <c r="AV6" i="1"/>
  <c r="AR5" i="1"/>
  <c r="AR20" i="1" s="1"/>
  <c r="AR25" i="1" s="1"/>
  <c r="AR27" i="1" l="1"/>
  <c r="AW27" i="1"/>
  <c r="AW30" i="1" s="1"/>
  <c r="BA5" i="1"/>
  <c r="AE76" i="3"/>
  <c r="AE77" i="3" s="1"/>
  <c r="AF76" i="3"/>
  <c r="AF77" i="3" s="1"/>
  <c r="AG76" i="3"/>
  <c r="AG77" i="3" s="1"/>
  <c r="AH76" i="3"/>
  <c r="AH77" i="3" s="1"/>
  <c r="AE38" i="3"/>
  <c r="AF38" i="3"/>
  <c r="AG38" i="3"/>
  <c r="AH38" i="3"/>
  <c r="AV5" i="1"/>
  <c r="AV10" i="1"/>
  <c r="BA20" i="1" l="1"/>
  <c r="AW31" i="1"/>
  <c r="AW32" i="1" s="1"/>
  <c r="AV20" i="1"/>
  <c r="AV25" i="1" s="1"/>
  <c r="AV27" i="1" s="1"/>
  <c r="AR31" i="1"/>
  <c r="AD73" i="3"/>
  <c r="BA25" i="1" l="1"/>
  <c r="BA27" i="1" s="1"/>
  <c r="BA30" i="1" s="1"/>
  <c r="BA31" i="1"/>
  <c r="BA32" i="1" s="1"/>
  <c r="AV31" i="1"/>
  <c r="AV32" i="1" s="1"/>
  <c r="AR32" i="1"/>
  <c r="AD43" i="4"/>
  <c r="AC43" i="4" l="1"/>
  <c r="AC33" i="4" l="1"/>
  <c r="AC51" i="4"/>
  <c r="AC64" i="4"/>
  <c r="AC73" i="3"/>
  <c r="AO10" i="1"/>
  <c r="AO5" i="1"/>
  <c r="AI10" i="1"/>
  <c r="AI5" i="1"/>
  <c r="AI20" i="1" l="1"/>
  <c r="AI31" i="1" s="1"/>
  <c r="AI32" i="1" s="1"/>
  <c r="AO20" i="1"/>
  <c r="AC65" i="4"/>
  <c r="AI25" i="1" l="1"/>
  <c r="AI27" i="1" s="1"/>
  <c r="AI30" i="1" s="1"/>
  <c r="AO31" i="1"/>
  <c r="AO25" i="1"/>
  <c r="AH9" i="1"/>
  <c r="AO27" i="1" l="1"/>
  <c r="AO32" i="1"/>
  <c r="AK23" i="1"/>
  <c r="AB43" i="4" l="1"/>
  <c r="AB73" i="3"/>
  <c r="AB35" i="3"/>
  <c r="AB22" i="3"/>
  <c r="AQ23" i="1" l="1"/>
  <c r="AA35" i="3" l="1"/>
  <c r="AD64" i="4" l="1"/>
  <c r="AB64" i="4"/>
  <c r="AA64" i="4"/>
  <c r="AD51" i="4"/>
  <c r="AB51" i="4"/>
  <c r="AA51" i="4"/>
  <c r="AB6" i="4"/>
  <c r="AA6" i="4"/>
  <c r="AA30" i="4" s="1"/>
  <c r="AA33" i="4" s="1"/>
  <c r="AA73" i="3"/>
  <c r="AD60" i="3"/>
  <c r="AC60" i="3"/>
  <c r="AB60" i="3"/>
  <c r="AA60" i="3"/>
  <c r="AD51" i="3"/>
  <c r="AC49" i="3"/>
  <c r="AB49" i="3"/>
  <c r="AB51" i="3" s="1"/>
  <c r="AA49" i="3"/>
  <c r="AA51" i="3" s="1"/>
  <c r="AB38" i="3"/>
  <c r="AC51" i="3" l="1"/>
  <c r="AC38" i="3"/>
  <c r="AA65" i="4"/>
  <c r="AA38" i="3"/>
  <c r="AD76" i="3"/>
  <c r="AD77" i="3" s="1"/>
  <c r="AD38" i="3"/>
  <c r="AA76" i="3"/>
  <c r="AA77" i="3" s="1"/>
  <c r="AB76" i="3"/>
  <c r="AB77" i="3" s="1"/>
  <c r="AC76" i="3"/>
  <c r="AC77" i="3" l="1"/>
  <c r="AK29" i="1"/>
  <c r="AK28" i="1"/>
  <c r="AK24" i="1"/>
  <c r="AK22" i="1"/>
  <c r="AK21" i="1"/>
  <c r="AK19" i="1"/>
  <c r="AK18" i="1"/>
  <c r="AK17" i="1"/>
  <c r="AK16" i="1"/>
  <c r="AK15" i="1"/>
  <c r="AK14" i="1"/>
  <c r="AK13" i="1"/>
  <c r="AK12" i="1"/>
  <c r="AK11" i="1"/>
  <c r="AJ10" i="1"/>
  <c r="AH10" i="1"/>
  <c r="AG10" i="1"/>
  <c r="AK9" i="1"/>
  <c r="AK8" i="1"/>
  <c r="AK7" i="1"/>
  <c r="AK6" i="1"/>
  <c r="AJ5" i="1"/>
  <c r="AH5" i="1"/>
  <c r="AG5" i="1"/>
  <c r="AQ29" i="1"/>
  <c r="AQ28" i="1"/>
  <c r="AQ24" i="1"/>
  <c r="AQ22" i="1"/>
  <c r="AQ21" i="1"/>
  <c r="AQ19" i="1"/>
  <c r="AQ18" i="1"/>
  <c r="AQ17" i="1"/>
  <c r="AQ16" i="1"/>
  <c r="AQ15" i="1"/>
  <c r="AQ14" i="1"/>
  <c r="AQ13" i="1"/>
  <c r="AQ12" i="1"/>
  <c r="AQ11" i="1"/>
  <c r="AP10" i="1"/>
  <c r="AN10" i="1"/>
  <c r="AM10" i="1"/>
  <c r="AQ9" i="1"/>
  <c r="AQ8" i="1"/>
  <c r="AQ7" i="1"/>
  <c r="AQ6" i="1"/>
  <c r="AP5" i="1"/>
  <c r="AN5" i="1"/>
  <c r="AM5" i="1"/>
  <c r="AG20" i="1" l="1"/>
  <c r="AG31" i="1" s="1"/>
  <c r="AP20" i="1"/>
  <c r="AJ20" i="1"/>
  <c r="AJ25" i="1" s="1"/>
  <c r="AN20" i="1"/>
  <c r="AQ10" i="1"/>
  <c r="AH20" i="1"/>
  <c r="AH31" i="1" s="1"/>
  <c r="AH32" i="1" s="1"/>
  <c r="AK10" i="1"/>
  <c r="AK5" i="1"/>
  <c r="AQ5" i="1"/>
  <c r="AM20" i="1"/>
  <c r="AG25" i="1" l="1"/>
  <c r="AG27" i="1" s="1"/>
  <c r="AG30" i="1" s="1"/>
  <c r="AN31" i="1"/>
  <c r="AN32" i="1" s="1"/>
  <c r="AN25" i="1"/>
  <c r="AN27" i="1" s="1"/>
  <c r="AN30" i="1" s="1"/>
  <c r="AP31" i="1"/>
  <c r="AP32" i="1" s="1"/>
  <c r="AP25" i="1"/>
  <c r="AP27" i="1" s="1"/>
  <c r="AG32" i="1"/>
  <c r="AJ31" i="1"/>
  <c r="AJ32" i="1" s="1"/>
  <c r="AQ20" i="1"/>
  <c r="AQ25" i="1" s="1"/>
  <c r="AQ27" i="1" s="1"/>
  <c r="AH25" i="1"/>
  <c r="AH27" i="1" s="1"/>
  <c r="AH30" i="1" s="1"/>
  <c r="AK20" i="1"/>
  <c r="AK31" i="1" s="1"/>
  <c r="AK32" i="1" s="1"/>
  <c r="AM31" i="1"/>
  <c r="AM25" i="1"/>
  <c r="AM27" i="1" l="1"/>
  <c r="AM32" i="1"/>
  <c r="AQ30" i="1"/>
  <c r="AB30" i="4"/>
  <c r="AB33" i="4" s="1"/>
  <c r="AB65" i="4" s="1"/>
  <c r="AQ31" i="1"/>
  <c r="AK25" i="1"/>
  <c r="AF24" i="1"/>
  <c r="AM30" i="1" l="1"/>
  <c r="AQ32" i="1"/>
  <c r="AF23" i="1"/>
  <c r="AA23" i="1"/>
  <c r="Q23" i="1"/>
  <c r="L23" i="1"/>
  <c r="G23" i="1"/>
  <c r="AD10" i="1" l="1"/>
  <c r="Z6" i="4" l="1"/>
  <c r="Z30" i="4" s="1"/>
  <c r="Z33" i="4" s="1"/>
  <c r="Z64" i="4"/>
  <c r="Z51" i="4"/>
  <c r="Z35" i="3"/>
  <c r="Z73" i="3"/>
  <c r="Z60" i="3"/>
  <c r="Z49" i="3"/>
  <c r="Z51" i="3" s="1"/>
  <c r="AF29" i="1"/>
  <c r="AF28" i="1"/>
  <c r="AF26" i="1"/>
  <c r="AF22" i="1"/>
  <c r="AF21" i="1"/>
  <c r="AF19" i="1"/>
  <c r="AF18" i="1"/>
  <c r="AF17" i="1"/>
  <c r="AF16" i="1"/>
  <c r="AF15" i="1"/>
  <c r="AF14" i="1"/>
  <c r="AF13" i="1"/>
  <c r="AF12" i="1"/>
  <c r="AF11" i="1"/>
  <c r="AF7" i="1"/>
  <c r="AF8" i="1"/>
  <c r="AF9" i="1"/>
  <c r="AF6" i="1"/>
  <c r="AE5" i="1"/>
  <c r="AE10" i="1"/>
  <c r="Z65" i="4" l="1"/>
  <c r="Z76" i="3"/>
  <c r="Z77" i="3" s="1"/>
  <c r="Z38" i="3"/>
  <c r="AF10" i="1"/>
  <c r="AE20" i="1"/>
  <c r="AE25" i="1" s="1"/>
  <c r="AF5" i="1"/>
  <c r="Y64" i="4"/>
  <c r="Y51" i="4"/>
  <c r="Y6" i="4"/>
  <c r="Y30" i="4" s="1"/>
  <c r="Y33" i="4" s="1"/>
  <c r="Y73" i="3"/>
  <c r="Y60" i="3"/>
  <c r="Y49" i="3"/>
  <c r="Y51" i="3" s="1"/>
  <c r="Y35" i="3"/>
  <c r="Y22" i="3"/>
  <c r="AD5" i="1"/>
  <c r="Y38" i="3" l="1"/>
  <c r="AE31" i="1"/>
  <c r="AE32" i="1" s="1"/>
  <c r="AE27" i="1"/>
  <c r="AE30" i="1" s="1"/>
  <c r="Y65" i="4"/>
  <c r="Y76" i="3"/>
  <c r="Y77" i="3" s="1"/>
  <c r="AF20" i="1"/>
  <c r="AF25" i="1" s="1"/>
  <c r="AD20" i="1"/>
  <c r="AD25" i="1" s="1"/>
  <c r="AF27" i="1" l="1"/>
  <c r="AD27" i="1"/>
  <c r="AD30" i="1" s="1"/>
  <c r="AD31" i="1"/>
  <c r="AD32" i="1" s="1"/>
  <c r="AF31" i="1"/>
  <c r="AF32" i="1" s="1"/>
  <c r="AF30" i="1" l="1"/>
  <c r="X64" i="4"/>
  <c r="X51" i="4"/>
  <c r="X6" i="4"/>
  <c r="X73" i="3"/>
  <c r="X60" i="3"/>
  <c r="X49" i="3"/>
  <c r="X51" i="3" s="1"/>
  <c r="X35" i="3"/>
  <c r="X22" i="3"/>
  <c r="AC10" i="1"/>
  <c r="AC5" i="1"/>
  <c r="AC20" i="1" l="1"/>
  <c r="AC25" i="1" s="1"/>
  <c r="AC27" i="1" s="1"/>
  <c r="AC30" i="1" s="1"/>
  <c r="X38" i="3"/>
  <c r="X76" i="3"/>
  <c r="X77" i="3" s="1"/>
  <c r="AC31" i="1" l="1"/>
  <c r="AC32" i="1" s="1"/>
  <c r="W62" i="4"/>
  <c r="Z10" i="1" l="1"/>
  <c r="Y10" i="1"/>
  <c r="X10" i="1"/>
  <c r="W10" i="1"/>
  <c r="V10" i="1"/>
  <c r="U10" i="1"/>
  <c r="T10" i="1"/>
  <c r="S10" i="1"/>
  <c r="R10" i="1"/>
  <c r="P10" i="1"/>
  <c r="O10" i="1"/>
  <c r="N10" i="1"/>
  <c r="M10" i="1"/>
  <c r="K10" i="1"/>
  <c r="J10" i="1"/>
  <c r="I10" i="1"/>
  <c r="H10" i="1"/>
  <c r="F10" i="1"/>
  <c r="E10" i="1"/>
  <c r="D10" i="1"/>
  <c r="C10" i="1"/>
  <c r="AB10" i="1"/>
  <c r="AA11" i="1"/>
  <c r="W64" i="4"/>
  <c r="W51" i="4"/>
  <c r="W6" i="4"/>
  <c r="W73" i="3"/>
  <c r="W60" i="3"/>
  <c r="W49" i="3"/>
  <c r="W51" i="3" s="1"/>
  <c r="W35" i="3"/>
  <c r="W22" i="3"/>
  <c r="AB5" i="1"/>
  <c r="W76" i="3" l="1"/>
  <c r="W77" i="3" s="1"/>
  <c r="W38" i="3"/>
  <c r="AB20" i="1"/>
  <c r="AB25" i="1" s="1"/>
  <c r="AB27" i="1" l="1"/>
  <c r="AB31" i="1"/>
  <c r="AB32" i="1" s="1"/>
  <c r="X30" i="4" l="1"/>
  <c r="X33" i="4" s="1"/>
  <c r="X65" i="4" s="1"/>
  <c r="AB30" i="1"/>
  <c r="W30" i="4"/>
  <c r="W33" i="4" s="1"/>
  <c r="W65" i="4" s="1"/>
  <c r="AA29" i="1"/>
  <c r="AA28" i="1"/>
  <c r="AA26" i="1"/>
  <c r="Q26" i="1"/>
  <c r="L26" i="1"/>
  <c r="G26" i="1"/>
  <c r="AA22" i="1"/>
  <c r="Q22" i="1"/>
  <c r="L22" i="1"/>
  <c r="G22" i="1"/>
  <c r="AA21" i="1"/>
  <c r="Q21" i="1"/>
  <c r="L21" i="1"/>
  <c r="G21" i="1"/>
  <c r="AA19" i="1"/>
  <c r="Q19" i="1"/>
  <c r="L19" i="1"/>
  <c r="G19" i="1"/>
  <c r="AA18" i="1"/>
  <c r="Q18" i="1"/>
  <c r="L18" i="1"/>
  <c r="G18" i="1"/>
  <c r="AA17" i="1"/>
  <c r="Q17" i="1"/>
  <c r="L17" i="1"/>
  <c r="G17" i="1"/>
  <c r="AA13" i="1"/>
  <c r="Q13" i="1"/>
  <c r="L13" i="1"/>
  <c r="G13" i="1"/>
  <c r="AA16" i="1"/>
  <c r="Q16" i="1"/>
  <c r="L16" i="1"/>
  <c r="G16" i="1"/>
  <c r="Q11" i="1"/>
  <c r="L11" i="1"/>
  <c r="G11" i="1"/>
  <c r="AA12" i="1"/>
  <c r="Q12" i="1"/>
  <c r="L12" i="1"/>
  <c r="G12" i="1"/>
  <c r="AA15" i="1"/>
  <c r="Q15" i="1"/>
  <c r="L15" i="1"/>
  <c r="G15" i="1"/>
  <c r="AA14" i="1"/>
  <c r="Q14" i="1"/>
  <c r="L14" i="1"/>
  <c r="G14" i="1"/>
  <c r="AA9" i="1"/>
  <c r="Q9" i="1"/>
  <c r="L9" i="1"/>
  <c r="G9" i="1"/>
  <c r="AA8" i="1"/>
  <c r="Q8" i="1"/>
  <c r="L8" i="1"/>
  <c r="G8" i="1"/>
  <c r="AA7" i="1"/>
  <c r="Q7" i="1"/>
  <c r="L7" i="1"/>
  <c r="G7" i="1"/>
  <c r="AA6" i="1"/>
  <c r="Q6" i="1"/>
  <c r="L6" i="1"/>
  <c r="G6" i="1"/>
  <c r="Z5" i="1"/>
  <c r="Y5" i="1"/>
  <c r="X5" i="1"/>
  <c r="W5" i="1"/>
  <c r="V5" i="1"/>
  <c r="U5" i="1"/>
  <c r="T5" i="1"/>
  <c r="S5" i="1"/>
  <c r="R5" i="1"/>
  <c r="P5" i="1"/>
  <c r="O5" i="1"/>
  <c r="N5" i="1"/>
  <c r="M5" i="1"/>
  <c r="K5" i="1"/>
  <c r="J5" i="1"/>
  <c r="I5" i="1"/>
  <c r="H5" i="1"/>
  <c r="F5" i="1"/>
  <c r="E5" i="1"/>
  <c r="D5" i="1"/>
  <c r="C5" i="1"/>
  <c r="G5" i="1" l="1"/>
  <c r="L5" i="1"/>
  <c r="Q5" i="1"/>
  <c r="AA5" i="1"/>
  <c r="L10" i="1"/>
  <c r="L20" i="1" s="1"/>
  <c r="L25" i="1" s="1"/>
  <c r="AA10" i="1"/>
  <c r="Q10" i="1"/>
  <c r="Q20" i="1" s="1"/>
  <c r="Q25" i="1" s="1"/>
  <c r="G10" i="1"/>
  <c r="C20" i="1"/>
  <c r="C25" i="1" s="1"/>
  <c r="M20" i="1"/>
  <c r="M25" i="1" s="1"/>
  <c r="U20" i="1"/>
  <c r="U25" i="1" s="1"/>
  <c r="Z20" i="1"/>
  <c r="Z25" i="1" s="1"/>
  <c r="D20" i="1"/>
  <c r="D25" i="1" s="1"/>
  <c r="E20" i="1"/>
  <c r="E25" i="1" s="1"/>
  <c r="O20" i="1"/>
  <c r="O25" i="1" s="1"/>
  <c r="F20" i="1"/>
  <c r="F25" i="1" s="1"/>
  <c r="P20" i="1"/>
  <c r="P25" i="1" s="1"/>
  <c r="N20" i="1"/>
  <c r="N25" i="1" s="1"/>
  <c r="I20" i="1"/>
  <c r="I25" i="1" s="1"/>
  <c r="R20" i="1"/>
  <c r="R25" i="1" s="1"/>
  <c r="V20" i="1"/>
  <c r="V25" i="1" s="1"/>
  <c r="S20" i="1"/>
  <c r="S25" i="1" s="1"/>
  <c r="W20" i="1"/>
  <c r="W25" i="1" s="1"/>
  <c r="K20" i="1"/>
  <c r="K25" i="1" s="1"/>
  <c r="T20" i="1"/>
  <c r="T25" i="1" s="1"/>
  <c r="X20" i="1"/>
  <c r="X25" i="1" s="1"/>
  <c r="Y20" i="1"/>
  <c r="Y25" i="1" s="1"/>
  <c r="J20" i="1"/>
  <c r="J25" i="1" s="1"/>
  <c r="H20" i="1"/>
  <c r="H25" i="1" s="1"/>
  <c r="G20" i="1" l="1"/>
  <c r="G25" i="1" s="1"/>
  <c r="G27" i="1" s="1"/>
  <c r="G28" i="1" s="1"/>
  <c r="AA20" i="1"/>
  <c r="AA25" i="1" s="1"/>
  <c r="AA27" i="1" s="1"/>
  <c r="AA30" i="1" s="1"/>
  <c r="P31" i="1"/>
  <c r="P32" i="1" s="1"/>
  <c r="S31" i="1"/>
  <c r="S32" i="1" s="1"/>
  <c r="S27" i="1"/>
  <c r="S30" i="1" s="1"/>
  <c r="O31" i="1"/>
  <c r="O32" i="1" s="1"/>
  <c r="U27" i="1"/>
  <c r="K27" i="1"/>
  <c r="K30" i="1" s="1"/>
  <c r="V27" i="1"/>
  <c r="E31" i="1"/>
  <c r="E32" i="1" s="1"/>
  <c r="M31" i="1"/>
  <c r="M32" i="1" s="1"/>
  <c r="Q27" i="1"/>
  <c r="Y31" i="1"/>
  <c r="Y32" i="1" s="1"/>
  <c r="Y27" i="1"/>
  <c r="Y30" i="1" s="1"/>
  <c r="R27" i="1"/>
  <c r="P27" i="1"/>
  <c r="P30" i="1" s="1"/>
  <c r="D31" i="1"/>
  <c r="D32" i="1" s="1"/>
  <c r="D27" i="1"/>
  <c r="C27" i="1"/>
  <c r="C28" i="1" s="1"/>
  <c r="T27" i="1"/>
  <c r="N31" i="1"/>
  <c r="N32" i="1" s="1"/>
  <c r="X31" i="1"/>
  <c r="X32" i="1" s="1"/>
  <c r="W31" i="1"/>
  <c r="W32" i="1" s="1"/>
  <c r="I31" i="1"/>
  <c r="I32" i="1" s="1"/>
  <c r="F27" i="1"/>
  <c r="Z31" i="1"/>
  <c r="Z32" i="1" s="1"/>
  <c r="Z27" i="1"/>
  <c r="Z30" i="1" s="1"/>
  <c r="V31" i="1"/>
  <c r="V32" i="1" s="1"/>
  <c r="N27" i="1"/>
  <c r="N28" i="1" s="1"/>
  <c r="C31" i="1"/>
  <c r="C32" i="1" s="1"/>
  <c r="E27" i="1"/>
  <c r="E28" i="1" s="1"/>
  <c r="Q31" i="1"/>
  <c r="Q32" i="1" s="1"/>
  <c r="M27" i="1"/>
  <c r="M28" i="1" s="1"/>
  <c r="O27" i="1"/>
  <c r="O28" i="1" s="1"/>
  <c r="U31" i="1"/>
  <c r="U32" i="1" s="1"/>
  <c r="F31" i="1"/>
  <c r="F32" i="1" s="1"/>
  <c r="T31" i="1"/>
  <c r="T32" i="1" s="1"/>
  <c r="X27" i="1"/>
  <c r="X30" i="1" s="1"/>
  <c r="R31" i="1"/>
  <c r="R32" i="1" s="1"/>
  <c r="K31" i="1"/>
  <c r="K32" i="1" s="1"/>
  <c r="I27" i="1"/>
  <c r="I30" i="1" s="1"/>
  <c r="W27" i="1"/>
  <c r="L31" i="1"/>
  <c r="L32" i="1" s="1"/>
  <c r="L27" i="1"/>
  <c r="J31" i="1"/>
  <c r="J32" i="1" s="1"/>
  <c r="J27" i="1"/>
  <c r="H31" i="1"/>
  <c r="H32" i="1" s="1"/>
  <c r="H27" i="1"/>
  <c r="AA31" i="1" l="1"/>
  <c r="AA32" i="1" s="1"/>
  <c r="G31" i="1"/>
  <c r="G32" i="1" s="1"/>
  <c r="P28" i="1"/>
  <c r="K28" i="1"/>
  <c r="Q28" i="1"/>
  <c r="Q30" i="1"/>
  <c r="D28" i="1"/>
  <c r="D30" i="1"/>
  <c r="R5" i="4"/>
  <c r="V28" i="1"/>
  <c r="V30" i="1"/>
  <c r="R28" i="1"/>
  <c r="R30" i="1"/>
  <c r="T28" i="1"/>
  <c r="T30" i="1"/>
  <c r="F30" i="1"/>
  <c r="F28" i="1"/>
  <c r="U30" i="1"/>
  <c r="U28" i="1"/>
  <c r="C30" i="1"/>
  <c r="G30" i="1"/>
  <c r="E30" i="1"/>
  <c r="N30" i="1"/>
  <c r="M30" i="1"/>
  <c r="L5" i="4"/>
  <c r="O30" i="1"/>
  <c r="V5" i="4"/>
  <c r="S28" i="1"/>
  <c r="W30" i="1"/>
  <c r="T5" i="4"/>
  <c r="U5" i="4" s="1"/>
  <c r="S5" i="4"/>
  <c r="I28" i="1"/>
  <c r="Q5" i="4"/>
  <c r="H30" i="1"/>
  <c r="H28" i="1"/>
  <c r="J28" i="1"/>
  <c r="J30" i="1"/>
  <c r="L30" i="1"/>
  <c r="L28" i="1"/>
  <c r="V64" i="4" l="1"/>
  <c r="V51" i="4"/>
  <c r="V6" i="4"/>
  <c r="V73" i="3"/>
  <c r="V60" i="3"/>
  <c r="V49" i="3"/>
  <c r="V51" i="3" s="1"/>
  <c r="V35" i="3"/>
  <c r="V22" i="3"/>
  <c r="V30" i="4" l="1"/>
  <c r="V33" i="4" s="1"/>
  <c r="V65" i="4" s="1"/>
  <c r="V76" i="3"/>
  <c r="V77" i="3" s="1"/>
  <c r="V38" i="3"/>
  <c r="U64" i="4" l="1"/>
  <c r="U51" i="4"/>
  <c r="U6" i="4"/>
  <c r="U73" i="3"/>
  <c r="U60" i="3"/>
  <c r="U49" i="3"/>
  <c r="U51" i="3" s="1"/>
  <c r="U35" i="3"/>
  <c r="U22" i="3"/>
  <c r="U76" i="3" l="1"/>
  <c r="U77" i="3" s="1"/>
  <c r="U38" i="3"/>
  <c r="U30" i="4"/>
  <c r="U33" i="4" s="1"/>
  <c r="U65" i="4" s="1"/>
  <c r="T64" i="4" l="1"/>
  <c r="T51" i="4"/>
  <c r="T6" i="4"/>
  <c r="T73" i="3"/>
  <c r="T60" i="3"/>
  <c r="T49" i="3"/>
  <c r="T51" i="3" s="1"/>
  <c r="T35" i="3"/>
  <c r="T22" i="3"/>
  <c r="T76" i="3" l="1"/>
  <c r="T77" i="3" s="1"/>
  <c r="T38" i="3"/>
  <c r="C6" i="3"/>
  <c r="S64" i="4" l="1"/>
  <c r="S51" i="4"/>
  <c r="S6" i="4"/>
  <c r="S73" i="3"/>
  <c r="S60" i="3"/>
  <c r="S49" i="3"/>
  <c r="S51" i="3" s="1"/>
  <c r="S35" i="3"/>
  <c r="S22" i="3"/>
  <c r="S76" i="3" l="1"/>
  <c r="S77" i="3" s="1"/>
  <c r="S38" i="3"/>
  <c r="R64" i="4" l="1"/>
  <c r="R51" i="4"/>
  <c r="R6" i="4"/>
  <c r="R73" i="3"/>
  <c r="R60" i="3"/>
  <c r="R49" i="3"/>
  <c r="R51" i="3" s="1"/>
  <c r="R35" i="3"/>
  <c r="R22" i="3"/>
  <c r="T30" i="4" l="1"/>
  <c r="T33" i="4" s="1"/>
  <c r="T65" i="4" s="1"/>
  <c r="S30" i="4"/>
  <c r="S33" i="4" s="1"/>
  <c r="S65" i="4" s="1"/>
  <c r="R76" i="3"/>
  <c r="R77" i="3" s="1"/>
  <c r="R38" i="3"/>
  <c r="R30" i="4" l="1"/>
  <c r="R33" i="4" s="1"/>
  <c r="R65" i="4" s="1"/>
  <c r="R69" i="4" s="1"/>
  <c r="V66" i="4" l="1"/>
  <c r="V69" i="4" s="1"/>
  <c r="Y66" i="4" s="1"/>
  <c r="Z66" i="4" s="1"/>
  <c r="U66" i="4"/>
  <c r="U69" i="4" s="1"/>
  <c r="T66" i="4"/>
  <c r="T69" i="4" s="1"/>
  <c r="S66" i="4"/>
  <c r="S69" i="4" s="1"/>
  <c r="H29" i="4"/>
  <c r="I29" i="4"/>
  <c r="Z69" i="4" l="1"/>
  <c r="Y69" i="4"/>
  <c r="W66" i="4"/>
  <c r="W69" i="4" s="1"/>
  <c r="X66" i="4"/>
  <c r="X69" i="4" s="1"/>
  <c r="AA66" i="4" l="1"/>
  <c r="AA69" i="4" s="1"/>
  <c r="AC66" i="4"/>
  <c r="AD66" i="4" s="1"/>
  <c r="AB66" i="4"/>
  <c r="AC69" i="4" l="1"/>
  <c r="AB69" i="4"/>
  <c r="C64" i="4"/>
  <c r="J64" i="4"/>
  <c r="K64" i="4"/>
  <c r="L64" i="4"/>
  <c r="M64" i="4"/>
  <c r="N64" i="4"/>
  <c r="O64" i="4"/>
  <c r="P64" i="4"/>
  <c r="Q64" i="4"/>
  <c r="K72" i="3"/>
  <c r="J72" i="3"/>
  <c r="I72" i="3"/>
  <c r="H72" i="3"/>
  <c r="G72" i="3"/>
  <c r="F72" i="3"/>
  <c r="E72" i="3"/>
  <c r="D72" i="3"/>
  <c r="K71" i="3"/>
  <c r="J71" i="3"/>
  <c r="I71" i="3"/>
  <c r="H71" i="3"/>
  <c r="G71" i="3"/>
  <c r="F71" i="3"/>
  <c r="E71" i="3"/>
  <c r="D71" i="3"/>
  <c r="K70" i="3"/>
  <c r="J70" i="3"/>
  <c r="I70" i="3"/>
  <c r="H70" i="3"/>
  <c r="G70" i="3"/>
  <c r="F70" i="3"/>
  <c r="E70" i="3"/>
  <c r="D70" i="3"/>
  <c r="K66" i="3"/>
  <c r="J66" i="3"/>
  <c r="I66" i="3"/>
  <c r="H66" i="3"/>
  <c r="G66" i="3"/>
  <c r="F66" i="3"/>
  <c r="E66" i="3"/>
  <c r="D66" i="3"/>
  <c r="K63" i="3"/>
  <c r="J63" i="3"/>
  <c r="I63" i="3"/>
  <c r="H63" i="3"/>
  <c r="G63" i="3"/>
  <c r="F63" i="3"/>
  <c r="E63" i="3"/>
  <c r="D63" i="3"/>
  <c r="K62" i="3"/>
  <c r="J62" i="3"/>
  <c r="I62" i="3"/>
  <c r="H62" i="3"/>
  <c r="G62" i="3"/>
  <c r="F62" i="3"/>
  <c r="E62" i="3"/>
  <c r="D62" i="3"/>
  <c r="K61" i="3"/>
  <c r="J61" i="3"/>
  <c r="I61" i="3"/>
  <c r="H61" i="3"/>
  <c r="G61" i="3"/>
  <c r="F61" i="3"/>
  <c r="E61" i="3"/>
  <c r="D61" i="3"/>
  <c r="K58" i="3"/>
  <c r="J58" i="3"/>
  <c r="I58" i="3"/>
  <c r="H58" i="3"/>
  <c r="G58" i="3"/>
  <c r="F58" i="3"/>
  <c r="E58" i="3"/>
  <c r="D58" i="3"/>
  <c r="K57" i="3"/>
  <c r="J57" i="3"/>
  <c r="I57" i="3"/>
  <c r="H57" i="3"/>
  <c r="G57" i="3"/>
  <c r="F57" i="3"/>
  <c r="E57" i="3"/>
  <c r="D57" i="3"/>
  <c r="K56" i="3"/>
  <c r="J56" i="3"/>
  <c r="I56" i="3"/>
  <c r="H56" i="3"/>
  <c r="G56" i="3"/>
  <c r="F56" i="3"/>
  <c r="E56" i="3"/>
  <c r="D56" i="3"/>
  <c r="K54" i="3"/>
  <c r="J54" i="3"/>
  <c r="I54" i="3"/>
  <c r="H54" i="3"/>
  <c r="G54" i="3"/>
  <c r="F54" i="3"/>
  <c r="E54" i="3"/>
  <c r="D54" i="3"/>
  <c r="K53" i="3"/>
  <c r="J53" i="3"/>
  <c r="I53" i="3"/>
  <c r="H53" i="3"/>
  <c r="G53" i="3"/>
  <c r="F53" i="3"/>
  <c r="E53" i="3"/>
  <c r="D53" i="3"/>
  <c r="K52" i="3"/>
  <c r="J52" i="3"/>
  <c r="I52" i="3"/>
  <c r="H52" i="3"/>
  <c r="G52" i="3"/>
  <c r="F52" i="3"/>
  <c r="E52" i="3"/>
  <c r="D52" i="3"/>
  <c r="K48" i="3"/>
  <c r="J48" i="3"/>
  <c r="I48" i="3"/>
  <c r="H48" i="3"/>
  <c r="G48" i="3"/>
  <c r="F48" i="3"/>
  <c r="E48" i="3"/>
  <c r="D48" i="3"/>
  <c r="J47" i="3"/>
  <c r="I47" i="3"/>
  <c r="H47" i="3"/>
  <c r="G47" i="3"/>
  <c r="F47" i="3"/>
  <c r="E47" i="3"/>
  <c r="D47" i="3"/>
  <c r="K43" i="3"/>
  <c r="J43" i="3"/>
  <c r="I43" i="3"/>
  <c r="H43" i="3"/>
  <c r="G43" i="3"/>
  <c r="F43" i="3"/>
  <c r="E43" i="3"/>
  <c r="D43" i="3"/>
  <c r="K40" i="3"/>
  <c r="J40" i="3"/>
  <c r="I40" i="3"/>
  <c r="H40" i="3"/>
  <c r="G40" i="3"/>
  <c r="F40" i="3"/>
  <c r="E40" i="3"/>
  <c r="D40" i="3"/>
  <c r="K33" i="3"/>
  <c r="J33" i="3"/>
  <c r="I33" i="3"/>
  <c r="H33" i="3"/>
  <c r="G33" i="3"/>
  <c r="F33" i="3"/>
  <c r="E33" i="3"/>
  <c r="D33" i="3"/>
  <c r="K30" i="3"/>
  <c r="J30" i="3"/>
  <c r="I30" i="3"/>
  <c r="H30" i="3"/>
  <c r="G30" i="3"/>
  <c r="F30" i="3"/>
  <c r="E30" i="3"/>
  <c r="D30" i="3"/>
  <c r="K29" i="3"/>
  <c r="J29" i="3"/>
  <c r="I29" i="3"/>
  <c r="H29" i="3"/>
  <c r="G29" i="3"/>
  <c r="F29" i="3"/>
  <c r="E29" i="3"/>
  <c r="D29" i="3"/>
  <c r="K28" i="3"/>
  <c r="J28" i="3"/>
  <c r="I28" i="3"/>
  <c r="H28" i="3"/>
  <c r="G28" i="3"/>
  <c r="F28" i="3"/>
  <c r="E28" i="3"/>
  <c r="D28" i="3"/>
  <c r="K27" i="3"/>
  <c r="J27" i="3"/>
  <c r="I27" i="3"/>
  <c r="H27" i="3"/>
  <c r="G27" i="3"/>
  <c r="F27" i="3"/>
  <c r="E27" i="3"/>
  <c r="D27" i="3"/>
  <c r="K25" i="3"/>
  <c r="J25" i="3"/>
  <c r="I25" i="3"/>
  <c r="H25" i="3"/>
  <c r="G25" i="3"/>
  <c r="F25" i="3"/>
  <c r="E25" i="3"/>
  <c r="D25" i="3"/>
  <c r="K23" i="3"/>
  <c r="J23" i="3"/>
  <c r="I23" i="3"/>
  <c r="H23" i="3"/>
  <c r="G23" i="3"/>
  <c r="F23" i="3"/>
  <c r="E23" i="3"/>
  <c r="D23" i="3"/>
  <c r="K21" i="3"/>
  <c r="J21" i="3"/>
  <c r="I21" i="3"/>
  <c r="H21" i="3"/>
  <c r="G21" i="3"/>
  <c r="F21" i="3"/>
  <c r="E21" i="3"/>
  <c r="D21" i="3"/>
  <c r="K18" i="3"/>
  <c r="J18" i="3"/>
  <c r="I18" i="3"/>
  <c r="H18" i="3"/>
  <c r="G18" i="3"/>
  <c r="F18" i="3"/>
  <c r="E18" i="3"/>
  <c r="D18" i="3"/>
  <c r="K15" i="3"/>
  <c r="J15" i="3"/>
  <c r="I15" i="3"/>
  <c r="H15" i="3"/>
  <c r="G15" i="3"/>
  <c r="F15" i="3"/>
  <c r="E15" i="3"/>
  <c r="D15" i="3"/>
  <c r="K14" i="3"/>
  <c r="J14" i="3"/>
  <c r="I14" i="3"/>
  <c r="H14" i="3"/>
  <c r="G14" i="3"/>
  <c r="F14" i="3"/>
  <c r="E14" i="3"/>
  <c r="D14" i="3"/>
  <c r="K13" i="3"/>
  <c r="J13" i="3"/>
  <c r="I13" i="3"/>
  <c r="H13" i="3"/>
  <c r="G13" i="3"/>
  <c r="F13" i="3"/>
  <c r="E13" i="3"/>
  <c r="D13" i="3"/>
  <c r="K11" i="3"/>
  <c r="J11" i="3"/>
  <c r="I11" i="3"/>
  <c r="H11" i="3"/>
  <c r="G11" i="3"/>
  <c r="F11" i="3"/>
  <c r="E11" i="3"/>
  <c r="D11" i="3"/>
  <c r="K10" i="3"/>
  <c r="J10" i="3"/>
  <c r="I10" i="3"/>
  <c r="H10" i="3"/>
  <c r="G10" i="3"/>
  <c r="F10" i="3"/>
  <c r="E10" i="3"/>
  <c r="D10" i="3"/>
  <c r="K8" i="3"/>
  <c r="J8" i="3"/>
  <c r="I8" i="3"/>
  <c r="H8" i="3"/>
  <c r="G8" i="3"/>
  <c r="F8" i="3"/>
  <c r="E8" i="3"/>
  <c r="K7" i="3"/>
  <c r="J7" i="3"/>
  <c r="I7" i="3"/>
  <c r="H7" i="3"/>
  <c r="G7" i="3"/>
  <c r="F7" i="3"/>
  <c r="E7" i="3"/>
  <c r="K6" i="3"/>
  <c r="J6" i="3"/>
  <c r="I6" i="3"/>
  <c r="H6" i="3"/>
  <c r="G6" i="3"/>
  <c r="F6" i="3"/>
  <c r="E6" i="3"/>
  <c r="D8" i="3"/>
  <c r="D7" i="3"/>
  <c r="D6" i="3"/>
  <c r="E9" i="3"/>
  <c r="G9" i="3"/>
  <c r="H9" i="3"/>
  <c r="I9" i="3"/>
  <c r="J9" i="3"/>
  <c r="I34" i="3"/>
  <c r="I32" i="3"/>
  <c r="I31" i="3"/>
  <c r="I26" i="3"/>
  <c r="H59" i="3"/>
  <c r="H55" i="3"/>
  <c r="H26" i="3"/>
  <c r="G34" i="3"/>
  <c r="G32" i="3"/>
  <c r="G31" i="3"/>
  <c r="G26" i="3"/>
  <c r="F31" i="3"/>
  <c r="F26" i="3"/>
  <c r="E59" i="3"/>
  <c r="E55" i="3"/>
  <c r="E34" i="3"/>
  <c r="E26" i="3"/>
  <c r="D59" i="3"/>
  <c r="D55" i="3"/>
  <c r="D34" i="3"/>
  <c r="D32" i="3"/>
  <c r="D31" i="3"/>
  <c r="D26" i="3"/>
  <c r="C72" i="3"/>
  <c r="C71" i="3"/>
  <c r="C70" i="3"/>
  <c r="C66" i="3"/>
  <c r="C63" i="3"/>
  <c r="C62" i="3"/>
  <c r="C61" i="3"/>
  <c r="M59" i="3"/>
  <c r="L59" i="3"/>
  <c r="C59" i="3"/>
  <c r="C58" i="3"/>
  <c r="C56" i="3"/>
  <c r="C55" i="3"/>
  <c r="C54" i="3"/>
  <c r="C53" i="3"/>
  <c r="C52" i="3"/>
  <c r="C48" i="3"/>
  <c r="C45" i="3"/>
  <c r="C44" i="3"/>
  <c r="C42" i="3"/>
  <c r="C41" i="3"/>
  <c r="C40" i="3"/>
  <c r="C33" i="3"/>
  <c r="C30" i="3"/>
  <c r="C28" i="3"/>
  <c r="C27" i="3"/>
  <c r="C26" i="3"/>
  <c r="C25" i="3"/>
  <c r="C23" i="3"/>
  <c r="C21" i="3"/>
  <c r="C18" i="3"/>
  <c r="C14" i="3"/>
  <c r="C13" i="3"/>
  <c r="C11" i="3"/>
  <c r="C10" i="3"/>
  <c r="C9" i="3"/>
  <c r="C8" i="3"/>
  <c r="C7" i="3"/>
  <c r="P35" i="3"/>
  <c r="Q35" i="3"/>
  <c r="M31" i="3"/>
  <c r="M35" i="3" s="1"/>
  <c r="L31" i="3"/>
  <c r="L35" i="3" s="1"/>
  <c r="H35" i="3" l="1"/>
  <c r="C35" i="3"/>
  <c r="C60" i="3"/>
  <c r="K35" i="3"/>
  <c r="J35" i="3"/>
  <c r="I35" i="3"/>
  <c r="G35" i="3"/>
  <c r="F35" i="3"/>
  <c r="E35" i="3"/>
  <c r="D35" i="3"/>
  <c r="Q51" i="4" l="1"/>
  <c r="Q6" i="4"/>
  <c r="Q73" i="3"/>
  <c r="Q60" i="3"/>
  <c r="Q49" i="3"/>
  <c r="Q51" i="3" s="1"/>
  <c r="Q22" i="3"/>
  <c r="Q76" i="3" l="1"/>
  <c r="Q77" i="3" s="1"/>
  <c r="Q38" i="3"/>
  <c r="P51" i="4" l="1"/>
  <c r="P6" i="4"/>
  <c r="P30" i="4" s="1"/>
  <c r="P33" i="4" s="1"/>
  <c r="P60" i="3"/>
  <c r="P73" i="3"/>
  <c r="P49" i="3"/>
  <c r="P51" i="3" s="1"/>
  <c r="P22" i="3"/>
  <c r="O73" i="3"/>
  <c r="N73" i="3"/>
  <c r="O60" i="3"/>
  <c r="N60" i="3"/>
  <c r="O22" i="3"/>
  <c r="N22" i="3"/>
  <c r="O51" i="4"/>
  <c r="O6" i="4"/>
  <c r="O30" i="4" s="1"/>
  <c r="O33" i="4" s="1"/>
  <c r="O49" i="3"/>
  <c r="O51" i="3" s="1"/>
  <c r="P76" i="3" l="1"/>
  <c r="P65" i="4"/>
  <c r="P69" i="4" s="1"/>
  <c r="P38" i="3"/>
  <c r="O65" i="4"/>
  <c r="O69" i="4" s="1"/>
  <c r="O76" i="3"/>
  <c r="N51" i="4"/>
  <c r="N6" i="4"/>
  <c r="N49" i="3"/>
  <c r="N51" i="3" s="1"/>
  <c r="P77" i="3" l="1"/>
  <c r="Q30" i="4"/>
  <c r="Q33" i="4" s="1"/>
  <c r="Q65" i="4" s="1"/>
  <c r="Q69" i="4" s="1"/>
  <c r="O77" i="3"/>
  <c r="N76" i="3"/>
  <c r="M51" i="4"/>
  <c r="M6" i="4"/>
  <c r="M73" i="3"/>
  <c r="M60" i="3"/>
  <c r="M49" i="3"/>
  <c r="M51" i="3" s="1"/>
  <c r="M22" i="3"/>
  <c r="N77" i="3" l="1"/>
  <c r="M30" i="4"/>
  <c r="M33" i="4" s="1"/>
  <c r="M65" i="4" s="1"/>
  <c r="M69" i="4" s="1"/>
  <c r="M76" i="3"/>
  <c r="M38" i="3"/>
  <c r="M77" i="3" l="1"/>
  <c r="N30" i="4" l="1"/>
  <c r="E6" i="4"/>
  <c r="D6" i="4"/>
  <c r="C6" i="4"/>
  <c r="I57" i="4"/>
  <c r="I64" i="4" s="1"/>
  <c r="H57" i="4"/>
  <c r="H64" i="4" s="1"/>
  <c r="G57" i="4"/>
  <c r="G64" i="4" s="1"/>
  <c r="F57" i="4"/>
  <c r="F64" i="4" s="1"/>
  <c r="E57" i="4"/>
  <c r="E64" i="4" s="1"/>
  <c r="D57" i="4"/>
  <c r="D64" i="4" s="1"/>
  <c r="N33" i="4" l="1"/>
  <c r="J50" i="3"/>
  <c r="K50" i="3"/>
  <c r="I50" i="3"/>
  <c r="C51" i="4"/>
  <c r="D51" i="4"/>
  <c r="E51" i="4"/>
  <c r="F51" i="4"/>
  <c r="G51" i="4"/>
  <c r="H51" i="4"/>
  <c r="I51" i="4"/>
  <c r="J51" i="4"/>
  <c r="K51" i="4"/>
  <c r="L51" i="4"/>
  <c r="O26" i="3" l="1"/>
  <c r="O35" i="3" s="1"/>
  <c r="N26" i="3"/>
  <c r="N32" i="3"/>
  <c r="N65" i="4"/>
  <c r="L6" i="4"/>
  <c r="L73" i="3"/>
  <c r="L60" i="3"/>
  <c r="L49" i="3"/>
  <c r="L51" i="3" s="1"/>
  <c r="L22" i="3"/>
  <c r="N35" i="3" l="1"/>
  <c r="I49" i="3"/>
  <c r="I51" i="3" s="1"/>
  <c r="E73" i="3"/>
  <c r="D60" i="3"/>
  <c r="J73" i="3"/>
  <c r="H49" i="3"/>
  <c r="H51" i="3" s="1"/>
  <c r="I60" i="3"/>
  <c r="J49" i="3"/>
  <c r="J51" i="3" s="1"/>
  <c r="D73" i="3"/>
  <c r="F73" i="3"/>
  <c r="J60" i="3"/>
  <c r="G49" i="3"/>
  <c r="G51" i="3" s="1"/>
  <c r="E49" i="3"/>
  <c r="E51" i="3" s="1"/>
  <c r="K73" i="3"/>
  <c r="F60" i="3"/>
  <c r="C49" i="3"/>
  <c r="C51" i="3" s="1"/>
  <c r="E60" i="3"/>
  <c r="H73" i="3"/>
  <c r="G73" i="3"/>
  <c r="K60" i="3"/>
  <c r="H60" i="3"/>
  <c r="C73" i="3"/>
  <c r="F49" i="3"/>
  <c r="F51" i="3" s="1"/>
  <c r="K22" i="3"/>
  <c r="I73" i="3"/>
  <c r="G60" i="3"/>
  <c r="D49" i="3"/>
  <c r="D51" i="3" s="1"/>
  <c r="K49" i="3"/>
  <c r="K51" i="3" s="1"/>
  <c r="N69" i="4"/>
  <c r="G22" i="3"/>
  <c r="F22" i="3"/>
  <c r="H22" i="3"/>
  <c r="C22" i="3"/>
  <c r="I22" i="3"/>
  <c r="J22" i="3"/>
  <c r="E22" i="3"/>
  <c r="D22" i="3"/>
  <c r="L38" i="3"/>
  <c r="L76" i="3"/>
  <c r="E76" i="3" l="1"/>
  <c r="E77" i="3" s="1"/>
  <c r="I76" i="3"/>
  <c r="I77" i="3" s="1"/>
  <c r="C76" i="3"/>
  <c r="C77" i="3" s="1"/>
  <c r="K76" i="3"/>
  <c r="K77" i="3" s="1"/>
  <c r="J76" i="3"/>
  <c r="J77" i="3" s="1"/>
  <c r="G38" i="3"/>
  <c r="F76" i="3"/>
  <c r="F77" i="3" s="1"/>
  <c r="D76" i="3"/>
  <c r="D77" i="3" s="1"/>
  <c r="H76" i="3"/>
  <c r="H77" i="3" s="1"/>
  <c r="J38" i="3"/>
  <c r="O38" i="3"/>
  <c r="G76" i="3"/>
  <c r="G77" i="3" s="1"/>
  <c r="H38" i="3"/>
  <c r="N38" i="3"/>
  <c r="E38" i="3"/>
  <c r="D38" i="3"/>
  <c r="L77" i="3"/>
  <c r="C38" i="3"/>
  <c r="F38" i="3"/>
  <c r="K38" i="3"/>
  <c r="I38" i="3"/>
  <c r="L30" i="4" l="1"/>
  <c r="L33" i="4" s="1"/>
  <c r="L65" i="4" s="1"/>
  <c r="L69" i="4" s="1"/>
  <c r="D30" i="4" l="1"/>
  <c r="D33" i="4" s="1"/>
  <c r="D65" i="4" l="1"/>
  <c r="D69" i="4" s="1"/>
  <c r="F6" i="4" l="1"/>
  <c r="F30" i="4" s="1"/>
  <c r="F33" i="4" s="1"/>
  <c r="F65" i="4" s="1"/>
  <c r="F69" i="4" s="1"/>
  <c r="K6" i="4"/>
  <c r="K30" i="4" s="1"/>
  <c r="K33" i="4" s="1"/>
  <c r="K65" i="4" s="1"/>
  <c r="K69" i="4" s="1"/>
  <c r="C30" i="4"/>
  <c r="C33" i="4" s="1"/>
  <c r="C65" i="4" s="1"/>
  <c r="C69" i="4" s="1"/>
  <c r="G6" i="4"/>
  <c r="G30" i="4" s="1"/>
  <c r="G33" i="4" s="1"/>
  <c r="G65" i="4" s="1"/>
  <c r="G69" i="4" s="1"/>
  <c r="H6" i="4"/>
  <c r="H30" i="4" s="1"/>
  <c r="H33" i="4" s="1"/>
  <c r="H65" i="4" s="1"/>
  <c r="H69" i="4" s="1"/>
  <c r="E30" i="4"/>
  <c r="E33" i="4" s="1"/>
  <c r="E65" i="4" s="1"/>
  <c r="E69" i="4" s="1"/>
  <c r="J6" i="4"/>
  <c r="J30" i="4" s="1"/>
  <c r="J33" i="4" s="1"/>
  <c r="J65" i="4" s="1"/>
  <c r="J69" i="4" s="1"/>
  <c r="I6" i="4"/>
  <c r="I30" i="4" s="1"/>
  <c r="I33" i="4" s="1"/>
  <c r="I65" i="4" s="1"/>
  <c r="I69" i="4" s="1"/>
  <c r="AD30" i="4" l="1"/>
  <c r="AD33" i="4" l="1"/>
  <c r="AD65" i="4" l="1"/>
  <c r="AD69" i="4" l="1"/>
  <c r="AL66" i="4" l="1"/>
  <c r="AH66" i="4"/>
  <c r="AK66" i="4"/>
  <c r="AK69" i="4" s="1"/>
  <c r="AJ66" i="4"/>
  <c r="AJ69" i="4" s="1"/>
  <c r="AG66" i="4"/>
  <c r="AG69" i="4" s="1"/>
  <c r="AF66" i="4"/>
  <c r="AF69" i="4" s="1"/>
  <c r="AK26" i="1"/>
  <c r="AK27" i="1" s="1"/>
  <c r="AK30" i="1" s="1"/>
  <c r="AJ27" i="1"/>
  <c r="AJ30" i="1" s="1"/>
  <c r="AH69" i="4" l="1"/>
  <c r="AL69" i="4"/>
  <c r="AM66" i="4" s="1"/>
  <c r="AM69" i="4" s="1"/>
  <c r="AZ27" i="5" l="1"/>
  <c r="AW24" i="5"/>
  <c r="AW5" i="5" s="1"/>
  <c r="AZ24" i="5" l="1"/>
  <c r="AZ5" i="5" s="1"/>
</calcChain>
</file>

<file path=xl/sharedStrings.xml><?xml version="1.0" encoding="utf-8"?>
<sst xmlns="http://schemas.openxmlformats.org/spreadsheetml/2006/main" count="1261" uniqueCount="644">
  <si>
    <t>SKONSOLIDOWANY RACHUNEK ZYSKÓW I STRAT</t>
  </si>
  <si>
    <t>CONSOLIDATED INCOME STATEMENT</t>
  </si>
  <si>
    <t>2020 (dane wg MSSF 16)</t>
  </si>
  <si>
    <t>2021 (dane wg MSSF 16)</t>
  </si>
  <si>
    <t>2019 (IFRS 15 and IFRS 16 basis)</t>
  </si>
  <si>
    <t>2020 (IFRS 16 basis)</t>
  </si>
  <si>
    <t>2021 (IFRS 16 basis)</t>
  </si>
  <si>
    <t>mPLN</t>
  </si>
  <si>
    <t>Q1</t>
  </si>
  <si>
    <t>Q2</t>
  </si>
  <si>
    <t>Q3</t>
  </si>
  <si>
    <t>Q4</t>
  </si>
  <si>
    <t>YTD2019</t>
  </si>
  <si>
    <t>YTD2020</t>
  </si>
  <si>
    <t>Przychody ze sprzedaży usług, produktów, towarów i materiałów</t>
  </si>
  <si>
    <t>Revenue</t>
  </si>
  <si>
    <t>Przychody detaliczne od klientów indywidualnych i biznesowych</t>
  </si>
  <si>
    <t>Retail revenue</t>
  </si>
  <si>
    <t>Przychody hurtowe</t>
  </si>
  <si>
    <t>Wholesale revenue</t>
  </si>
  <si>
    <t>Przychody ze sprzedaży sprzętu</t>
  </si>
  <si>
    <t xml:space="preserve">Sale of equipment </t>
  </si>
  <si>
    <t>Pozostałe przychody ze sprzedaży</t>
  </si>
  <si>
    <t>Other revenue</t>
  </si>
  <si>
    <t>Koszty operacyjne</t>
  </si>
  <si>
    <t>Operating costs</t>
  </si>
  <si>
    <t>Koszty techniczne i rozliczeń międzyoperatorskich</t>
  </si>
  <si>
    <t>Technical costs and cost of settlements with telecommunication operators</t>
  </si>
  <si>
    <t>Amortyzacja, utrata wartości i likwidacja</t>
  </si>
  <si>
    <t>Depreciation, amortization, impairment and liquidation</t>
  </si>
  <si>
    <t>Koszt własny sprzedanego sprzętu</t>
  </si>
  <si>
    <t>Cost of equipment sold</t>
  </si>
  <si>
    <t>Koszty kontentu</t>
  </si>
  <si>
    <t>Content costs</t>
  </si>
  <si>
    <t>Koszty dystrybucji, marketingu, obsługi i utrzymania klienta</t>
  </si>
  <si>
    <t>Distribution, marketing, customer relation management and retention costs</t>
  </si>
  <si>
    <t>Wynagrodzenia i świadczenia na rzecz pracowników</t>
  </si>
  <si>
    <t>Salaries and employee-related costs</t>
  </si>
  <si>
    <t>Koszty windykacji, odpisów aktualizujących wartość należności i koszt spisanych należności</t>
  </si>
  <si>
    <t>Cost of debt collection services, bad debt allowance and receivables written off</t>
  </si>
  <si>
    <t>Inne koszty</t>
  </si>
  <si>
    <t>Other costs</t>
  </si>
  <si>
    <t>Pozostałe przychody / (koszty) operacyjne, netto</t>
  </si>
  <si>
    <t>Other operating income / (loss), net</t>
  </si>
  <si>
    <t>Zysk z działalności operacyjnej</t>
  </si>
  <si>
    <t>Profit from operating activities</t>
  </si>
  <si>
    <r>
      <t>Zyski i straty z działalności inwestycyjnej, netto</t>
    </r>
    <r>
      <rPr>
        <vertAlign val="superscript"/>
        <sz val="10"/>
        <color indexed="8"/>
        <rFont val="Calibri"/>
        <family val="2"/>
        <charset val="238"/>
      </rPr>
      <t xml:space="preserve"> </t>
    </r>
  </si>
  <si>
    <t>Gain/(loss) on investment activities, net</t>
  </si>
  <si>
    <t xml:space="preserve">Koszty finansowe, netto </t>
  </si>
  <si>
    <t>Finance costs, net</t>
  </si>
  <si>
    <t>Udział w zysku jednostki współkontrolowanej wycenianej metodą praw własności</t>
  </si>
  <si>
    <t>Share of the profit/(loss) of jointly controlled entity accounted for using the equity method</t>
  </si>
  <si>
    <t>Udział w zysku/(stracie) jednostek stowarzyszonych wycenianych metodą praw własności</t>
  </si>
  <si>
    <t>Share of the profit/(loss) of associates accounted for using the equity method</t>
  </si>
  <si>
    <t>Zysk brutto za okres</t>
  </si>
  <si>
    <t>Gross profit for the period</t>
  </si>
  <si>
    <t>Podatek dochodowy</t>
  </si>
  <si>
    <t>Income tax</t>
  </si>
  <si>
    <t>Zysk netto za okres</t>
  </si>
  <si>
    <t>Net profit for the period</t>
  </si>
  <si>
    <t>Zysk netto przypadający na akcjonariuszy Jednostki Dominującej</t>
  </si>
  <si>
    <t>Net profit attributable to equity holders of the Parent</t>
  </si>
  <si>
    <t>Zysk/ (strata) netto przypadający na akcjonariuszy niekontrolujących</t>
  </si>
  <si>
    <t>Net profit/(loss) attributable to non-controlling interest</t>
  </si>
  <si>
    <t>Podstawowy i rozwodniony zysk na jedną akcję w złotych</t>
  </si>
  <si>
    <t>Basic and diluted earnings per share (in PLN)</t>
  </si>
  <si>
    <t>EBITDA</t>
  </si>
  <si>
    <t>marża EBITDA</t>
  </si>
  <si>
    <t>EBITDA margin</t>
  </si>
  <si>
    <r>
      <t xml:space="preserve">Koszty związane z COVID (w tym darowizny) </t>
    </r>
    <r>
      <rPr>
        <vertAlign val="superscript"/>
        <sz val="10"/>
        <color indexed="8"/>
        <rFont val="Calibri"/>
        <family val="2"/>
        <charset val="238"/>
      </rPr>
      <t>5)</t>
    </r>
  </si>
  <si>
    <r>
      <t xml:space="preserve">Costs related to COVID (including donations) </t>
    </r>
    <r>
      <rPr>
        <vertAlign val="superscript"/>
        <sz val="10"/>
        <color theme="1"/>
        <rFont val="Calibri"/>
        <family val="2"/>
        <charset val="238"/>
      </rPr>
      <t>5)</t>
    </r>
  </si>
  <si>
    <t>EBITDA skorygowana</t>
  </si>
  <si>
    <t>EBITDA adjusted</t>
  </si>
  <si>
    <t>marża EBITDA skorygowana</t>
  </si>
  <si>
    <t>EBITDA adjusted margin</t>
  </si>
  <si>
    <t>1) Wyniki Grupy Aero2 konsolidowane od 29 lutego 2016.</t>
  </si>
  <si>
    <t>1) Results of Aero2 Group consolidated from February 29, 2016</t>
  </si>
  <si>
    <r>
      <t xml:space="preserve">2) Dane zgodne ze standardem MSR 18 - nie uwzględniają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</si>
  <si>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</si>
  <si>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</si>
  <si>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 xml:space="preserve">3) Data presented in accordance with standards IFRS 9 Financial Instruments and IFRS 15 Revenue from Contracts with Customers. Data is not comparable to data for previous periods. </t>
  </si>
  <si>
    <t>4) Dane bez ujęcia efektu MSSF 16</t>
  </si>
  <si>
    <t>4) Data excluding the impact of IFRS 16</t>
  </si>
  <si>
    <t>5) EBITDA skorygowana nie uwzględnia kosztów poniesionych w związku z epidemią COVID-19, w tym darowizn.</t>
  </si>
  <si>
    <t>5) Adjusted EBITDA excludes costs related to the COVID-19 epidemic, including donations.</t>
  </si>
  <si>
    <t>2019 (IFRS 16 basis)</t>
  </si>
  <si>
    <t>YTD2018</t>
  </si>
  <si>
    <t>Przychody ze sprzedaży</t>
  </si>
  <si>
    <t>Revenues</t>
  </si>
  <si>
    <t>Segment usług B2C i B2B</t>
  </si>
  <si>
    <t>B2C &amp; B2B services segment</t>
  </si>
  <si>
    <t>Segment mediowy: TV i online</t>
  </si>
  <si>
    <t>Media segment: TV &amp; online</t>
  </si>
  <si>
    <t>wyłączenia i korekty konsolidacyjne</t>
  </si>
  <si>
    <t>consolidation adjustments</t>
  </si>
  <si>
    <t>EBITDA skorygowana (niebadana)</t>
  </si>
  <si>
    <t>EBITDA adjusted (unaudited)</t>
  </si>
  <si>
    <r>
      <t xml:space="preserve">Koszty związane z COVID (w tym darowizny) </t>
    </r>
    <r>
      <rPr>
        <vertAlign val="superscript"/>
        <sz val="9"/>
        <color theme="1"/>
        <rFont val="Calibri"/>
        <family val="2"/>
        <charset val="238"/>
        <scheme val="minor"/>
      </rPr>
      <t>1)</t>
    </r>
  </si>
  <si>
    <r>
      <t xml:space="preserve">Costs related to COVID (including donations) </t>
    </r>
    <r>
      <rPr>
        <vertAlign val="superscript"/>
        <sz val="9"/>
        <color theme="1"/>
        <rFont val="Calibri"/>
        <family val="2"/>
        <charset val="238"/>
        <scheme val="minor"/>
      </rPr>
      <t>1)</t>
    </r>
  </si>
  <si>
    <t>EBITDA (niebadana)</t>
  </si>
  <si>
    <t>EBITDA (unaudited)</t>
  </si>
  <si>
    <t>Zysk/(strata) z działalności operacyjnej</t>
  </si>
  <si>
    <r>
      <t>Nabycie rzeczowych aktywów trwałych i innych wartości niematerialnych</t>
    </r>
    <r>
      <rPr>
        <b/>
        <vertAlign val="superscript"/>
        <sz val="11"/>
        <rFont val="Calibri"/>
        <family val="2"/>
        <charset val="238"/>
        <scheme val="minor"/>
      </rPr>
      <t xml:space="preserve"> 2)</t>
    </r>
  </si>
  <si>
    <t>Relacja nabycia rzeczowych aktywów trwałych i innych wartości niematerialnych do przychodów</t>
  </si>
  <si>
    <t>Capex/Revenue ratio</t>
  </si>
  <si>
    <t>1) EBITDA skorygowana nie uwzględnia kosztów poniesionych w związku z epidemią COVID-19, w tym darowizn.</t>
  </si>
  <si>
    <t>1) Adjusted EBITDA excludes costs related to the COVID-19 epidemic, including donations.</t>
  </si>
  <si>
    <t>2) Pozycja ta do 2019 roku obejmowała także nabycie zestawów odbiorczych w leasingu operacyjnym, będące pozycją wykazywaną w ramach środków pieniężnych z działalności operacyjnej. Dla zachowania porównywalności, dane historyczne zostały odpowiednio skorygowane.</t>
  </si>
  <si>
    <t>2) Until 2019 this item also included the acquisition of reception equipment in operating leasing, an item recognized in cash flows from operating activites. To ensure comparability, historical data has been corrected accordingly.</t>
  </si>
  <si>
    <t>SKONSOLIDOWANY BILANS</t>
  </si>
  <si>
    <t>CONSOLIDATED BALANCE SHEET</t>
  </si>
  <si>
    <t xml:space="preserve">31 marca </t>
  </si>
  <si>
    <t xml:space="preserve">30 czerwca </t>
  </si>
  <si>
    <t xml:space="preserve">30 września </t>
  </si>
  <si>
    <t xml:space="preserve">31 grudnia </t>
  </si>
  <si>
    <t>31 March</t>
  </si>
  <si>
    <t>30 June</t>
  </si>
  <si>
    <t>30 September</t>
  </si>
  <si>
    <t>31 December</t>
  </si>
  <si>
    <t>AKTYWA</t>
  </si>
  <si>
    <t>ASSETS</t>
  </si>
  <si>
    <t>Zestawy odbiorcze</t>
  </si>
  <si>
    <t>Reception equipment</t>
  </si>
  <si>
    <t>Inne rzeczowe aktywa trwałe</t>
  </si>
  <si>
    <t>Other property, plant and equipment</t>
  </si>
  <si>
    <t>Wartość firmy</t>
  </si>
  <si>
    <t xml:space="preserve">Goodwill </t>
  </si>
  <si>
    <t>Relacje z klientami</t>
  </si>
  <si>
    <t>Customer relationships</t>
  </si>
  <si>
    <t>Marki</t>
  </si>
  <si>
    <t>Brands</t>
  </si>
  <si>
    <t xml:space="preserve">Inne wartości niematerialne </t>
  </si>
  <si>
    <t xml:space="preserve">Other intangible assets </t>
  </si>
  <si>
    <t>Prawa do użytkowania</t>
  </si>
  <si>
    <t>Right-of-use assets</t>
  </si>
  <si>
    <t>Długoterminowe aktywa programowe</t>
  </si>
  <si>
    <t>Non-current programming assets</t>
  </si>
  <si>
    <t>Nieruchomości inwestycyjne</t>
  </si>
  <si>
    <t>Investment property</t>
  </si>
  <si>
    <t>Długoterminowe prowizje dla dystrybutorów rozliczane w czasie</t>
  </si>
  <si>
    <t>Non-current deferred distribution fees</t>
  </si>
  <si>
    <t>Opcja wcześniejszej spłaty obligacji</t>
  </si>
  <si>
    <t>Early redemption option</t>
  </si>
  <si>
    <r>
      <t xml:space="preserve">Długoterminowe należności z tytułu dostaw i usług </t>
    </r>
    <r>
      <rPr>
        <vertAlign val="superscript"/>
        <sz val="10"/>
        <color indexed="8"/>
        <rFont val="Calibri"/>
        <family val="2"/>
        <charset val="238"/>
      </rPr>
      <t>3)</t>
    </r>
  </si>
  <si>
    <r>
      <t xml:space="preserve">Non-current trade receivables </t>
    </r>
    <r>
      <rPr>
        <vertAlign val="superscript"/>
        <sz val="10"/>
        <color theme="1"/>
        <rFont val="Calibri"/>
        <family val="2"/>
        <charset val="238"/>
        <scheme val="minor"/>
      </rPr>
      <t>3)</t>
    </r>
  </si>
  <si>
    <r>
      <t xml:space="preserve">Inne aktywa długoterminowe </t>
    </r>
    <r>
      <rPr>
        <vertAlign val="superscript"/>
        <sz val="10"/>
        <color indexed="8"/>
        <rFont val="Calibri"/>
        <family val="2"/>
        <charset val="238"/>
      </rPr>
      <t>3)</t>
    </r>
  </si>
  <si>
    <r>
      <t xml:space="preserve">Other non-current assets </t>
    </r>
    <r>
      <rPr>
        <vertAlign val="superscript"/>
        <sz val="10"/>
        <color theme="1"/>
        <rFont val="Calibri"/>
        <family val="2"/>
        <charset val="238"/>
        <scheme val="minor"/>
      </rPr>
      <t>3)</t>
    </r>
    <r>
      <rPr>
        <sz val="10"/>
        <color theme="1"/>
        <rFont val="Calibri"/>
        <family val="2"/>
        <charset val="238"/>
        <scheme val="minor"/>
      </rPr>
      <t>, includes:</t>
    </r>
  </si>
  <si>
    <t>w tym udziały w jednostkach stowarzyszonych wycenianych metodą praw własności</t>
  </si>
  <si>
    <t>shares in associates accounted for using the equity method</t>
  </si>
  <si>
    <t>w tym aktywa z tytułu instrumentów pochodnych</t>
  </si>
  <si>
    <t xml:space="preserve">derivative instruments </t>
  </si>
  <si>
    <t>Aktywa z tytułu odroczonego podatku dochodowego</t>
  </si>
  <si>
    <t>Deferred tax assets</t>
  </si>
  <si>
    <t>Aktywa trwałe razem</t>
  </si>
  <si>
    <t>Total non-current assets</t>
  </si>
  <si>
    <t>Krótkoterminowe aktywa programowe</t>
  </si>
  <si>
    <t>Current programming assets</t>
  </si>
  <si>
    <t>Aktywa z tytułu kontraktów</t>
  </si>
  <si>
    <t>Contract assets</t>
  </si>
  <si>
    <t>Zapasy</t>
  </si>
  <si>
    <t>Inventories</t>
  </si>
  <si>
    <t>Pożyczki udzielone jednostkom powiązanym</t>
  </si>
  <si>
    <t>Loans granted to related parties</t>
  </si>
  <si>
    <t>Należności z tytułu dostaw i usług oraz pozostałe należności</t>
  </si>
  <si>
    <t>Trade and other receivables</t>
  </si>
  <si>
    <t>Należności z tytułu podatku dochodowego</t>
  </si>
  <si>
    <t>Income tax receivable</t>
  </si>
  <si>
    <t>Krótkoterminowe prowizje dla dystrybutorów rozliczane w czasie</t>
  </si>
  <si>
    <t>Current deferred distribution fees</t>
  </si>
  <si>
    <t>Pozostałe aktywa obrotowe</t>
  </si>
  <si>
    <t>Other current assets</t>
  </si>
  <si>
    <t>includes derivative instruments assets</t>
  </si>
  <si>
    <t>Lokaty krótkoterminowe</t>
  </si>
  <si>
    <t>Short-term deposits</t>
  </si>
  <si>
    <t>Środki pieniężne i ich ekwiwalenty</t>
  </si>
  <si>
    <t>Cash and cash equivalents</t>
  </si>
  <si>
    <t>Środki pieniężne o ograniczonej możliwości dysponowania</t>
  </si>
  <si>
    <t>Restricted cash</t>
  </si>
  <si>
    <t>Aktywa obrotowe razem</t>
  </si>
  <si>
    <t>Total current assets</t>
  </si>
  <si>
    <t>Aktywa przeznaczone do sprzedaży</t>
  </si>
  <si>
    <t>w tym środki pieniężne i ich ekwiwalenty</t>
  </si>
  <si>
    <t>AKTYWA RAZEM</t>
  </si>
  <si>
    <t>TOTAL ASSETS</t>
  </si>
  <si>
    <t>PASYWA</t>
  </si>
  <si>
    <t>EQUITY AND LIABILITIES</t>
  </si>
  <si>
    <t>Kapitał zakładowy</t>
  </si>
  <si>
    <t>Share capital</t>
  </si>
  <si>
    <t>Kapitał zapasowy</t>
  </si>
  <si>
    <t>Reserve capital</t>
  </si>
  <si>
    <t>Kapitał rezerwowy</t>
  </si>
  <si>
    <t>Other reserves</t>
  </si>
  <si>
    <t>Nadwyżka wartości emisyjnej akcji powyżej ich wartości nominalnej</t>
  </si>
  <si>
    <t>Share premium</t>
  </si>
  <si>
    <t>Kapitał z aktualizacji wyceny instrumentów zabezpieczających</t>
  </si>
  <si>
    <t>Hedge valuation reserve</t>
  </si>
  <si>
    <t>Różnice kursowe z przeliczenia jednostek działających za granicą</t>
  </si>
  <si>
    <t>Currency translation adjustmnet</t>
  </si>
  <si>
    <t>Udział w innych całkowitych dochodach jednostek stowarzyszonych</t>
  </si>
  <si>
    <t>Share of other comprehensive income of associates</t>
  </si>
  <si>
    <t>Pozostałe kapitały</t>
  </si>
  <si>
    <t>Zyski zatrzymane</t>
  </si>
  <si>
    <t>Retained earnings</t>
  </si>
  <si>
    <t>Kapitał przypadający na akcjonariuszy Jednostki Dominującej</t>
  </si>
  <si>
    <t>Equity attributable to equity holders of the Parent</t>
  </si>
  <si>
    <t>Udziały niekontrolujące</t>
  </si>
  <si>
    <t>Non-controlling interests</t>
  </si>
  <si>
    <t>Kapitał własny razem</t>
  </si>
  <si>
    <t>Total equity</t>
  </si>
  <si>
    <t>Zobowiązania z tytułu kredytów i pożyczek</t>
  </si>
  <si>
    <t>Loans and borrowings</t>
  </si>
  <si>
    <t xml:space="preserve">Zobowiązania z tytułu obligacji </t>
  </si>
  <si>
    <t>Issued bonds</t>
  </si>
  <si>
    <t>Zobowiązania z tytułu leasingu</t>
  </si>
  <si>
    <t>Lease liabilities</t>
  </si>
  <si>
    <t>Zobowiązania z tytułu koncesji UMTS</t>
  </si>
  <si>
    <t>UMTS license liabilities</t>
  </si>
  <si>
    <t>Zobowiązania z tytułu odroczonego podatku dochodowego</t>
  </si>
  <si>
    <t>Deferred tax liabilities</t>
  </si>
  <si>
    <t>Przychody przyszłych okresów</t>
  </si>
  <si>
    <t>Deferred income</t>
  </si>
  <si>
    <t>Inne długoterminowe zobowiązania i rezerwy</t>
  </si>
  <si>
    <t>Other non-current liabilities and provisions</t>
  </si>
  <si>
    <t>w tym zobowiązania z tytułu instrumentów pochodnych</t>
  </si>
  <si>
    <t>includes derivative instruments liabilities</t>
  </si>
  <si>
    <t>Zobowiązania długoterminowe razem</t>
  </si>
  <si>
    <t xml:space="preserve">Total non-current liabilities </t>
  </si>
  <si>
    <t xml:space="preserve">Zobowiązania z tytułu leasingu </t>
  </si>
  <si>
    <t>Zobowiązania z tytułu kontraktów</t>
  </si>
  <si>
    <t>Contract liabilities</t>
  </si>
  <si>
    <t xml:space="preserve">Zobowiązania z tytułu dostaw i usług oraz pozostałe zobowiązania </t>
  </si>
  <si>
    <t xml:space="preserve">Trade and other payables </t>
  </si>
  <si>
    <r>
      <t>Zobowiązanie z tytułu wezwania na akcje Netii S.A.</t>
    </r>
    <r>
      <rPr>
        <vertAlign val="superscript"/>
        <sz val="10"/>
        <color indexed="8"/>
        <rFont val="Calibri"/>
        <family val="2"/>
        <charset val="238"/>
      </rPr>
      <t>4)</t>
    </r>
  </si>
  <si>
    <r>
      <t xml:space="preserve">Liabilities due to tender offer for shares in Netia S.A. </t>
    </r>
    <r>
      <rPr>
        <vertAlign val="superscript"/>
        <sz val="10"/>
        <color theme="1"/>
        <rFont val="Calibri"/>
        <family val="2"/>
        <charset val="238"/>
        <scheme val="minor"/>
      </rPr>
      <t>4)</t>
    </r>
  </si>
  <si>
    <t>Zobowiązania z tytułu podatku dochodowego</t>
  </si>
  <si>
    <t>Income tax liability</t>
  </si>
  <si>
    <t>Kaucje otrzymane za wydany sprzęt</t>
  </si>
  <si>
    <t>Deposits for equipment</t>
  </si>
  <si>
    <t>2)</t>
  </si>
  <si>
    <t>Zobowiązania krótkoterminowe razem</t>
  </si>
  <si>
    <t>Total current liabilities</t>
  </si>
  <si>
    <t>Zobowiązania przeznaczone do sprzedaży</t>
  </si>
  <si>
    <t>w tym zobowiązania z tytułu leasingu</t>
  </si>
  <si>
    <t>Zobowiązania razem</t>
  </si>
  <si>
    <t>Total liabilities</t>
  </si>
  <si>
    <t>PASYWA RAZEM</t>
  </si>
  <si>
    <t>1) Przekszatłcenie w wyniku finalizacji procesu alokacji ceny nabycia Metelem.</t>
  </si>
  <si>
    <t>1) Restatement due to final purchase price allocation of Metelem</t>
  </si>
  <si>
    <t>2) Od 30 czerwca 2015 roku pozycja "Kaucje otrzymane za wydane sprzęt" została ujęta w pozycji "Zobowiązania z tytułu dostaw i usług oraz pozostałe zobowiązania".</t>
  </si>
  <si>
    <t>2) From June 30, 2015 the item "Deposits for equipment" is accounted for in the item "Trade and other payables"</t>
  </si>
  <si>
    <t>3) Na 31 grudnia 2019 roku Grupa zmieniła prezentację pozycji Inne aktywa długoterminowe i wydzieliła i zaprezentowała osobno pozycję Długoterminowe należności z tytułu dostaw i usług. Dane na 31 grudnia 2018 roku zostały przekształcone w celu uzgodnienia prezentacji.</t>
  </si>
  <si>
    <t>3) As at December 31, 2019 the Group changed the presentation of the item Other non-current assets by reclassifying and sperately presenting the item Non-current trade receivables. Data as of December 31, 2018 have been restated.</t>
  </si>
  <si>
    <t xml:space="preserve">4) Ogłoszenie wezwania w dniu 23 grudnia 2020 roku spowodowało powstanie po stronie Grupy zobowiązania finansowego wynikającego z wystawionej opcji sprzedaży, określonego jako iloczyn ceny z wezwania (4,80 zł (nie w milionach)) oraz ilości akcji Netia S.A. z wezwania (114.173.459 akcji (nie w milionach)).  Do dnia 26 lutego 2021 roku przyjęto zapisy na 84.868 akcji (nie w milionach) w ramach wezwania. W konsekwencji w dniu 8 marca 2021 roku zobowiązanie finansowe w wysokości 547,6 zł zostało wycofane z bilansu. </t>
  </si>
  <si>
    <t>4) The announcement of the tender offer for Netia’s shares dated 23 December 2020 resulted in a financial liability for the Group resulting from the put option, defined as the Netia’s share price in the tender offer (PLN 4.80 (not in millions)) and the number of shares in the tender offer (114,173,459 shares (not in millions). Subscriptions for 84,868 shares (not in millions) were accepted in the tender offer until 26 February 2021. As a result, on 8 March 2021, the financial liability in the amount of PLN 547.6 was derecognized from the balance sheet.</t>
  </si>
  <si>
    <t>SKONSOLIDOWANY RACHUNEK PRZEPŁYWÓW PIENIĘŻNYCH</t>
  </si>
  <si>
    <t>CONSOLIDATED CASH FLOW STATEMENT</t>
  </si>
  <si>
    <t>3 miesiące 
do 31 marca</t>
  </si>
  <si>
    <t>6 miesięcy 
do 30 czerwca</t>
  </si>
  <si>
    <t xml:space="preserve">9 miesięcy 
do 30 września </t>
  </si>
  <si>
    <t xml:space="preserve">12 miesięcy 
do 31 grudnia </t>
  </si>
  <si>
    <t>3 months ended
March 31</t>
  </si>
  <si>
    <t>6 months ended
June 30</t>
  </si>
  <si>
    <t>9 months ended
September 30</t>
  </si>
  <si>
    <t>12 months ended
December 31</t>
  </si>
  <si>
    <t>Zysk  netto za okres</t>
  </si>
  <si>
    <t>Net profit</t>
  </si>
  <si>
    <t>Korekty:</t>
  </si>
  <si>
    <t>Adjustments for:</t>
  </si>
  <si>
    <t>Płatności za licencje filmowe i sportowe</t>
  </si>
  <si>
    <t>Payments for film licenses and sports rights</t>
  </si>
  <si>
    <t>Amortyzacja licencji filmowych i sportowych</t>
  </si>
  <si>
    <t>Amortization of film licenses and sports rights</t>
  </si>
  <si>
    <t>(Zysk)/strata ze sprzedaży rzeczowych aktywów trwałych i wartości niematerialnych</t>
  </si>
  <si>
    <t>(Gain)/loss on the sale of property, plant and equipment and intangible assets</t>
  </si>
  <si>
    <t>Wartość sprzedanych aktywów programowych</t>
  </si>
  <si>
    <t>Cost of programming rights sold</t>
  </si>
  <si>
    <t xml:space="preserve">Odsetki </t>
  </si>
  <si>
    <t>Interest expense</t>
  </si>
  <si>
    <t>Zmiana stanu zapasów</t>
  </si>
  <si>
    <t>Change in inventories</t>
  </si>
  <si>
    <t>Zmiana stanu należności i innych aktywów</t>
  </si>
  <si>
    <t>Change in receivables and other assets</t>
  </si>
  <si>
    <t>Zmiana stanu zobowiązań i rezerw</t>
  </si>
  <si>
    <t>Change in liabilities and provisions</t>
  </si>
  <si>
    <t>Zmiana stanu aktywów z tytułu kontraktów</t>
  </si>
  <si>
    <t>Change in contract assets</t>
  </si>
  <si>
    <t>Zmiana stanu zobowiązania z tytułu kontraktów</t>
  </si>
  <si>
    <t>Change in contract liabilities</t>
  </si>
  <si>
    <t>Zmiana stanu produkcji własnej oraz zaliczek na produkcję własną</t>
  </si>
  <si>
    <t>Change in internal production and advance payments</t>
  </si>
  <si>
    <t>Wycena instrumentów zabezpieczających</t>
  </si>
  <si>
    <t>Valuation of hedging instruments</t>
  </si>
  <si>
    <t>Udział w zysku współnego przedsięwzięcia wycenianego metodą praw własności</t>
  </si>
  <si>
    <r>
      <t>Share of the profit of a joint venture</t>
    </r>
    <r>
      <rPr>
        <sz val="10"/>
        <color indexed="8"/>
        <rFont val="Calibri"/>
        <family val="2"/>
        <charset val="238"/>
      </rPr>
      <t xml:space="preserve"> accounted for using the equity method</t>
    </r>
  </si>
  <si>
    <t>Udział w (zysku) / stracie jednostek stowarzyszonych wycenianych metodą praw własności</t>
  </si>
  <si>
    <t>Share of the (profit)/loss of associates accounted for using the equity method</t>
  </si>
  <si>
    <t>(Zyski) / straty z tytułu różnic kursowych, netto</t>
  </si>
  <si>
    <t>Foreign exchange losses/(gains), net</t>
  </si>
  <si>
    <t xml:space="preserve">Podatek dochodowy </t>
  </si>
  <si>
    <t>Zwiększenie netto wartości zestawów odbiorczych</t>
  </si>
  <si>
    <t>Net additions of reception equipment</t>
  </si>
  <si>
    <t>Jednorazowe spisanie przeszacowania wartości obligacji na moment nabycia do wartości godziwej oraz koszt premii za wcześniejszy wykup obligacji</t>
  </si>
  <si>
    <t>Cumulative catch-up and early redemption costs</t>
  </si>
  <si>
    <t>Koszt premii za wcześniejszy wykup obligacji</t>
  </si>
  <si>
    <t>Early redemption costs</t>
  </si>
  <si>
    <t>(Zysk) / strata na instrumentach pochodnych, netto</t>
  </si>
  <si>
    <t>Net (gain)/loss on derivatives</t>
  </si>
  <si>
    <t>Efekt przeliczenia wartości zobowiązań z tytułu modyfikacji umowy kredytowej</t>
  </si>
  <si>
    <t>Cumulative catch-up resulting from modification of the loan agreement</t>
  </si>
  <si>
    <t>Inne korekty</t>
  </si>
  <si>
    <t>Other adjustments</t>
  </si>
  <si>
    <t>Środki pieniężne z działalności operacyjnej</t>
  </si>
  <si>
    <t>Cash from/ (used in) operating activities</t>
  </si>
  <si>
    <t>Podatek dochodowy zapłacony</t>
  </si>
  <si>
    <t>Income tax paid</t>
  </si>
  <si>
    <t>Odsetki otrzymane dotyczące działalności operacyjnej</t>
  </si>
  <si>
    <t>Interest received from operating activities</t>
  </si>
  <si>
    <t>Środki pieniężne netto z działalności operacyjnej</t>
  </si>
  <si>
    <t>Net cash from/ (used in) operating activities</t>
  </si>
  <si>
    <t>Nabycie rzeczowych aktywów trwałych</t>
  </si>
  <si>
    <t>Acquisition of property, plant and equipment</t>
  </si>
  <si>
    <t>Nabycie wartości niematerialnych</t>
  </si>
  <si>
    <t>Acquisition of intangible assets</t>
  </si>
  <si>
    <t>Nabycie obligacji</t>
  </si>
  <si>
    <t>Acquisition of bonds</t>
  </si>
  <si>
    <t>Płatności z tytułu koncesji</t>
  </si>
  <si>
    <t>Concession payments</t>
  </si>
  <si>
    <t>Nabycie akcji/udziałów w jednostkach stowarzyszonych</t>
  </si>
  <si>
    <t>Acquisition of shares in associates and other entities</t>
  </si>
  <si>
    <t>Nabycie udziałów w jednostkach zależnych pomniejszone o przejęte środki pieniężne</t>
  </si>
  <si>
    <t>Acquisition of subsidiaries, net of cash acquired</t>
  </si>
  <si>
    <t>Wypływy z tytułu podwyższenia kapitału w jednostce stowarzyszonej</t>
  </si>
  <si>
    <t>Share capital increase</t>
  </si>
  <si>
    <t>Wpływy ze zbycia udziałów</t>
  </si>
  <si>
    <t>Proceeds from sale of shares in subsidaries</t>
  </si>
  <si>
    <t>Wpływy ze zbycia niefinansowych aktywów trwałych</t>
  </si>
  <si>
    <t>Proceeds from sale of property, plant and equipment</t>
  </si>
  <si>
    <t>Wpływy/(Wypływy) z tytułu inwestycji w fundusze</t>
  </si>
  <si>
    <t>Investment funds inflows/(outflows)</t>
  </si>
  <si>
    <t xml:space="preserve">Lokaty krótkoterminowe </t>
  </si>
  <si>
    <t>Pożyczki udzielone</t>
  </si>
  <si>
    <t>Loans granted</t>
  </si>
  <si>
    <t>Spłata udzielonych pożyczek</t>
  </si>
  <si>
    <t>Repayment of loans granted</t>
  </si>
  <si>
    <t>Wpływy z tytułu realizacji instrumentów pochodnych</t>
  </si>
  <si>
    <t>Other investing activities - derivatives</t>
  </si>
  <si>
    <t>4)</t>
  </si>
  <si>
    <t>Otrzymane dywidendy od jednostek stowarzyszonych</t>
  </si>
  <si>
    <t>Dividends received from associates</t>
  </si>
  <si>
    <t>Wykup obligacji wraz z odsetkami</t>
  </si>
  <si>
    <t>Bonds redemption with interest</t>
  </si>
  <si>
    <t>Pozostałe wpływy/(wypływy)</t>
  </si>
  <si>
    <t>Other inflows/(outflows)</t>
  </si>
  <si>
    <t>Środki pieniężne netto z działalności inwestycyjnej</t>
  </si>
  <si>
    <t>Net cash from/ (used in) investing activities</t>
  </si>
  <si>
    <t>Spłata otrzymanych kredytów i pożyczek</t>
  </si>
  <si>
    <t>Repayment of loans and borrowings</t>
  </si>
  <si>
    <t>Zaciągnięcie kredytów</t>
  </si>
  <si>
    <t>Loans inflows</t>
  </si>
  <si>
    <t>Emisja obligacji/(Wykup obligacji)</t>
  </si>
  <si>
    <t>Bonds (redemption)/issue</t>
  </si>
  <si>
    <t>7)</t>
  </si>
  <si>
    <t>Prowizja za wcześniejszy wykup obligacji</t>
  </si>
  <si>
    <t>Early redemption fee</t>
  </si>
  <si>
    <t>Wpływy z tytułu realizacji instrumentów pochodnych - kapitał</t>
  </si>
  <si>
    <t>Hedging instrument effect – principal</t>
  </si>
  <si>
    <r>
      <t xml:space="preserve">Spłata odsetek od kredytów, pożyczek, obligacji i zapłacone prowizje </t>
    </r>
    <r>
      <rPr>
        <vertAlign val="superscript"/>
        <sz val="10"/>
        <rFont val="Calibri"/>
        <family val="2"/>
        <charset val="238"/>
      </rPr>
      <t>1)</t>
    </r>
  </si>
  <si>
    <r>
      <t xml:space="preserve">Payment of interest on loans, borrowings, bonds and commissions </t>
    </r>
    <r>
      <rPr>
        <vertAlign val="superscript"/>
        <sz val="9"/>
        <rFont val="Calibri"/>
        <family val="2"/>
        <charset val="238"/>
      </rPr>
      <t>1)</t>
    </r>
  </si>
  <si>
    <r>
      <t>Spłata odsetek od leasingu</t>
    </r>
    <r>
      <rPr>
        <vertAlign val="superscript"/>
        <sz val="10"/>
        <color indexed="8"/>
        <rFont val="Calibri"/>
        <family val="2"/>
        <charset val="238"/>
      </rPr>
      <t xml:space="preserve"> 5)</t>
    </r>
  </si>
  <si>
    <r>
      <t>Payment of interest on lease liabilities</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</si>
  <si>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</si>
  <si>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r>
      <t>Payment of lease liabilities</t>
    </r>
    <r>
      <rPr>
        <vertAlign val="superscript"/>
        <sz val="10"/>
        <color indexed="8"/>
        <rFont val="Calibri"/>
        <family val="2"/>
        <charset val="238"/>
      </rPr>
      <t xml:space="preserve"> 6)</t>
    </r>
  </si>
  <si>
    <t>Dividend payment</t>
  </si>
  <si>
    <t>Wykup obligacji wyemitowanych przez Midas</t>
  </si>
  <si>
    <t>Acquisition of bonds issued by Midas</t>
  </si>
  <si>
    <r>
      <t>Inne wypływy</t>
    </r>
    <r>
      <rPr>
        <vertAlign val="superscript"/>
        <sz val="10"/>
        <color indexed="8"/>
        <rFont val="Calibri"/>
        <family val="2"/>
        <charset val="238"/>
      </rPr>
      <t>3)</t>
    </r>
  </si>
  <si>
    <r>
      <t>Other outflows</t>
    </r>
    <r>
      <rPr>
        <vertAlign val="superscript"/>
        <sz val="10"/>
        <color indexed="8"/>
        <rFont val="Calibri"/>
        <family val="2"/>
        <charset val="238"/>
      </rPr>
      <t>(3)</t>
    </r>
  </si>
  <si>
    <t>Zapłata za usługi doradcze związane z emisją akcji</t>
  </si>
  <si>
    <t>Payment of share issuance-related consulting costs</t>
  </si>
  <si>
    <t>Środki pieniężne netto z działalności finansowej</t>
  </si>
  <si>
    <t>Net cash from/ (used in) financing activities</t>
  </si>
  <si>
    <t>Zmiana netto środków pieniężnych i ich ekwiwalentów</t>
  </si>
  <si>
    <t>Net increase/(decrease) in cash and cash equivalents</t>
  </si>
  <si>
    <t>Środki pieniężne i ich ekwiwalenty na początek okresu</t>
  </si>
  <si>
    <t>Cash and cash equivalents at the beginning of the period</t>
  </si>
  <si>
    <t>Zmiana stanu środków pieniężnych z tytułu różnic kursowych</t>
  </si>
  <si>
    <t>Effect of exchange rate fluctuations on cash and cash equivalents</t>
  </si>
  <si>
    <t>Przeniesienie do aktywów przeznaczonych do sprzedaży</t>
  </si>
  <si>
    <t>Środki pieniężne i ich ekwiwalenty na koniec okresu</t>
  </si>
  <si>
    <t>Cash and cash equivalents at the end of the period</t>
  </si>
  <si>
    <t>1) Obejmuje wpływ instrumentów IRS/CIRS/forward, premie za wcześniejszą spłatę obligacji oraz zapłatę za koszty związane z pozyskaniem finansowania.</t>
  </si>
  <si>
    <t>1) Includes impact of hedging instruments, premium paid for early bonds’ repayment and amount paid for costs related to new financing.</t>
  </si>
  <si>
    <t>2) Pozycja została połączona z pozycją "Inne korekty".</t>
  </si>
  <si>
    <t>2) Item included in "Other adjustments".</t>
  </si>
  <si>
    <t>3) Pozycja obejmuje spłatę zobowiązań z tytułu leasingu finansowego.</t>
  </si>
  <si>
    <t>3) Item includes Finance lease – principal repayments.</t>
  </si>
  <si>
    <t>4) Pozycja została połączona z "Pozostałe wpływy/(wypływy)".</t>
  </si>
  <si>
    <t>4) Item included in "Other inflows/(outflows)".</t>
  </si>
  <si>
    <t>5) Do 31 marca 2019 roku pozycja ta była wykazywana w linii "Spłata odsetek od kredytów, pożyczek, obligacji, leasingu finansowego i zapłacone prowizje".</t>
  </si>
  <si>
    <t>5) Until December 31, 2019 this item was included in "Payment of interest on loans, borrowings, bonds,  lease and commissions".</t>
  </si>
  <si>
    <t>6) Do 31 marca 2019 roku pozycja ta była wykazywana w linii "Inne wydatki".</t>
  </si>
  <si>
    <t>6) Until December 31, 2019 this item was included in "Other outflows".</t>
  </si>
  <si>
    <t>7) W drugim kwartale 2019 roku Spółka dokonała przedterminowego wykupu i umorzenia obligacji serii A oraz przeprowadziła emisję obligacji serii B. Wpływ i wypływ środków pieniężnych z tego tytułu uległ pokryciu i wyniósł 893 mln zł.</t>
  </si>
  <si>
    <t>7) In Q2 2019 the Company exercised the earlier repurchase and redemtion of series A bonds and the issuance of series B bonds. Cash inflow and outflow due to these events amounted to PLN 893m.</t>
  </si>
  <si>
    <t>.</t>
  </si>
  <si>
    <t>FY2019</t>
  </si>
  <si>
    <t>FY2020</t>
  </si>
  <si>
    <t>YTD2021</t>
  </si>
  <si>
    <t>1Q</t>
  </si>
  <si>
    <t>2Q</t>
  </si>
  <si>
    <t>3Q</t>
  </si>
  <si>
    <t>4Q</t>
  </si>
  <si>
    <t>n/d</t>
  </si>
  <si>
    <t>USŁUGI KONTRAKTOWE</t>
  </si>
  <si>
    <t>CONTRACT SERVICES</t>
  </si>
  <si>
    <t>Łączna liczba RGU na koniec okresu, w tym:</t>
  </si>
  <si>
    <t>Total number of RGUs (EOP), including:</t>
  </si>
  <si>
    <t>Płatna telewizja, w tym:</t>
  </si>
  <si>
    <t>Pay TV, including:</t>
  </si>
  <si>
    <t>Multiroom</t>
  </si>
  <si>
    <t>Telefonia komórkowa</t>
  </si>
  <si>
    <t>Mobile telephony</t>
  </si>
  <si>
    <t>Internet</t>
  </si>
  <si>
    <t>Liczba klientów</t>
  </si>
  <si>
    <t>Number of customers</t>
  </si>
  <si>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</si>
  <si>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</si>
  <si>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na klienta</t>
    </r>
    <r>
      <rPr>
        <vertAlign val="superscript"/>
        <sz val="9"/>
        <color rgb="FF000000"/>
        <rFont val="Calibri"/>
        <family val="2"/>
        <charset val="238"/>
        <scheme val="minor"/>
      </rPr>
      <t>4)</t>
    </r>
  </si>
  <si>
    <r>
      <t>Churn per customer</t>
    </r>
    <r>
      <rPr>
        <vertAlign val="superscript"/>
        <sz val="9"/>
        <color rgb="FF000000"/>
        <rFont val="Calibri"/>
        <family val="2"/>
        <charset val="238"/>
        <scheme val="minor"/>
      </rPr>
      <t>4)</t>
    </r>
  </si>
  <si>
    <t xml:space="preserve">Wskaźnik nasycenia RGU na jednego klienta </t>
  </si>
  <si>
    <t xml:space="preserve">RGU saturation per one cusotmer </t>
  </si>
  <si>
    <t>Średnia liczba RGU, w tym:</t>
  </si>
  <si>
    <t>Average number of RGUs, including:</t>
  </si>
  <si>
    <t>Średnia liczba klientów</t>
  </si>
  <si>
    <t>Average number of customers</t>
  </si>
  <si>
    <t>USŁUGI PRZEDPŁACONE</t>
  </si>
  <si>
    <t>PREPAID SERVICES</t>
  </si>
  <si>
    <t>Total number of RGUs, including:</t>
  </si>
  <si>
    <t xml:space="preserve">Płatna telewizja </t>
  </si>
  <si>
    <t>Pay TV</t>
  </si>
  <si>
    <t xml:space="preserve">Mobile telephony </t>
  </si>
  <si>
    <t xml:space="preserve">Internet </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</si>
  <si>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</si>
  <si>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</si>
  <si>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</si>
  <si>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1) Klient - osoba fizyczna, prawna lub jednostka organizacyjna nieposiadającą osobowości prawnej, posiadająca co najmniej jedną, aktywną usługę świadczoną w modelu kontraktowym.</t>
  </si>
  <si>
    <t xml:space="preserve">1) Customer - natural person, legal entity or an organizational unit without legal personality who has at least one active service provided in a contract model. </t>
  </si>
  <si>
    <t>2) RGU (revenue generating unit) - pojedyncza, aktywna usługa płatnej telewizji, dostępu do Internetu lub telefonii komórkowej, świadczona w modelu kontraktowym lub przedpłaconym.</t>
  </si>
  <si>
    <t xml:space="preserve">2) RGU (revenue generating unit) - single, active service of pay TV, Interneet Access or mobile telephony provided in contract or prepaid model. </t>
  </si>
  <si>
    <t xml:space="preserve">3) ARPU na klienta - Średni miesięczny przychód od Klienta wygenerowany w danym okresie rozliczeniowy (uwzględnia przychody z interconnect)
</t>
  </si>
  <si>
    <t xml:space="preserve">3) ARPU per customer - average monthly revenue per customer generated in a given settlement period (including interconnect revenue).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</si>
  <si>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</si>
  <si>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</si>
  <si>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na RGU - średni miesięczny przychód od RGU pre-paid wygenerowany w danym okresie rozliczeniowym (uwzględnia przychody z interconnect)</t>
  </si>
  <si>
    <t>5) ARPU per total prepaid RGU - average monthly revenue per prepaid RGU generated in a given settlement period (including interconnect revenue)</t>
  </si>
  <si>
    <t>6) Dane nie obejmują wyników operacyjnych Grupy Netia,  nad którą Grupa Cyfrowy Polsat zaczęła sprawować kontrolę z dniem 22 maja 2018 roku. Z uwagi na fakt że Netia S.A. jest spółką publiczną, notowaną na Giełdzie Papierów Wartościowych w Warszawie, jej szczegółowe wyniki operacyjne i finansowe dostępne są na bieżąco pod adresem: inwestor.netia.pl.</t>
  </si>
  <si>
    <t>6) Operational indicators excluding the results of Netia Group over which Cyfrowy Polsat Group took control effective May 22, 2018. Due to the fact that Netia S.A. is a company listed publically on the Warsaw Stock Exchange in Warsaw, its detailed operational and financial results are continuously available at the address: inwestor.netia.pl.</t>
  </si>
  <si>
    <r>
      <t xml:space="preserve">udział w oglądalności </t>
    </r>
    <r>
      <rPr>
        <b/>
        <vertAlign val="superscript"/>
        <sz val="11"/>
        <color theme="0"/>
        <rFont val="Calibri"/>
        <family val="2"/>
        <charset val="238"/>
        <scheme val="minor"/>
      </rPr>
      <t>(1)</t>
    </r>
  </si>
  <si>
    <r>
      <t>audience shares</t>
    </r>
    <r>
      <rPr>
        <b/>
        <vertAlign val="superscript"/>
        <sz val="11"/>
        <color theme="0"/>
        <rFont val="Calibri"/>
        <family val="2"/>
        <charset val="238"/>
        <scheme val="minor"/>
      </rPr>
      <t>(1)</t>
    </r>
  </si>
  <si>
    <r>
      <t>Grupa Polsat</t>
    </r>
    <r>
      <rPr>
        <b/>
        <sz val="11"/>
        <color theme="1"/>
        <rFont val="Calibri"/>
        <family val="2"/>
        <charset val="238"/>
        <scheme val="minor"/>
      </rPr>
      <t>, w tym:</t>
    </r>
  </si>
  <si>
    <r>
      <t>Polsat Group</t>
    </r>
    <r>
      <rPr>
        <b/>
        <sz val="11"/>
        <color theme="1"/>
        <rFont val="Calibri"/>
        <family val="2"/>
        <charset val="238"/>
        <scheme val="minor"/>
      </rPr>
      <t>, including:</t>
    </r>
  </si>
  <si>
    <t xml:space="preserve">    POLSAT (kanał główny)</t>
  </si>
  <si>
    <t xml:space="preserve">    POLSAT (main channel)</t>
  </si>
  <si>
    <t xml:space="preserve">    Pozostałe kanały</t>
  </si>
  <si>
    <t>Other channels</t>
  </si>
  <si>
    <t>Grupa Discovery</t>
  </si>
  <si>
    <t>Discovery Group</t>
  </si>
  <si>
    <t>Grupa TVP</t>
  </si>
  <si>
    <t>TVP Group</t>
  </si>
  <si>
    <r>
      <t>reklama telewizyjna</t>
    </r>
    <r>
      <rPr>
        <sz val="11"/>
        <color theme="0"/>
        <rFont val="Calibri"/>
        <family val="2"/>
        <charset val="238"/>
        <scheme val="minor"/>
      </rPr>
      <t xml:space="preserve"> (mln PLN)</t>
    </r>
  </si>
  <si>
    <r>
      <t xml:space="preserve">TV ad market </t>
    </r>
    <r>
      <rPr>
        <sz val="11"/>
        <color theme="0"/>
        <rFont val="Calibri"/>
        <family val="2"/>
        <charset val="238"/>
        <scheme val="minor"/>
      </rPr>
      <t>(mPLN)</t>
    </r>
  </si>
  <si>
    <r>
      <t>Wydatki na reklamę telewizyjną
i sponsoring na całym rynku</t>
    </r>
    <r>
      <rPr>
        <b/>
        <vertAlign val="superscript"/>
        <sz val="11"/>
        <color rgb="FF000000"/>
        <rFont val="Calibri"/>
        <family val="2"/>
        <charset val="238"/>
        <scheme val="minor"/>
      </rPr>
      <t>(2)</t>
    </r>
    <r>
      <rPr>
        <b/>
        <sz val="11"/>
        <color rgb="FF000000"/>
        <rFont val="Calibri"/>
        <family val="2"/>
        <charset val="238"/>
        <scheme val="minor"/>
      </rPr>
      <t xml:space="preserve"> </t>
    </r>
  </si>
  <si>
    <r>
      <t>Market expenditures on TV advertising
and sponsorship of Polsat Group</t>
    </r>
    <r>
      <rPr>
        <b/>
        <vertAlign val="superscript"/>
        <sz val="11"/>
        <color rgb="FF000000"/>
        <rFont val="Calibri"/>
        <family val="2"/>
        <charset val="238"/>
        <scheme val="minor"/>
      </rPr>
      <t>(2)</t>
    </r>
    <r>
      <rPr>
        <b/>
        <sz val="11"/>
        <color rgb="FF000000"/>
        <rFont val="Calibri"/>
        <family val="2"/>
        <charset val="238"/>
        <scheme val="minor"/>
      </rPr>
      <t xml:space="preserve"> </t>
    </r>
  </si>
  <si>
    <r>
      <t>Przychody z reklamy i sponsoringu Grupy TV Polsat</t>
    </r>
    <r>
      <rPr>
        <b/>
        <vertAlign val="superscript"/>
        <sz val="11"/>
        <color rgb="FF000000"/>
        <rFont val="Calibri"/>
        <family val="2"/>
        <charset val="238"/>
        <scheme val="minor"/>
      </rPr>
      <t>(3)</t>
    </r>
  </si>
  <si>
    <r>
      <t>Revenue from advertising and
sponsorship of TV Polsat Group</t>
    </r>
    <r>
      <rPr>
        <b/>
        <vertAlign val="superscript"/>
        <sz val="11"/>
        <color rgb="FF000000"/>
        <rFont val="Calibri"/>
        <family val="2"/>
        <charset val="238"/>
        <scheme val="minor"/>
      </rPr>
      <t>(3)</t>
    </r>
    <r>
      <rPr>
        <b/>
        <sz val="11"/>
        <color rgb="FF000000"/>
        <rFont val="Calibri"/>
        <family val="2"/>
        <charset val="238"/>
        <scheme val="minor"/>
      </rPr>
      <t xml:space="preserve"> </t>
    </r>
  </si>
  <si>
    <r>
      <t>Udział w rynku reklamy Grupy TV Polsat</t>
    </r>
    <r>
      <rPr>
        <b/>
        <vertAlign val="superscript"/>
        <sz val="11"/>
        <color rgb="FF000000"/>
        <rFont val="Calibri"/>
        <family val="2"/>
        <charset val="238"/>
        <scheme val="minor"/>
      </rPr>
      <t>(4,2)</t>
    </r>
  </si>
  <si>
    <r>
      <t>Advertising market share of Polsat Group</t>
    </r>
    <r>
      <rPr>
        <b/>
        <vertAlign val="superscript"/>
        <sz val="11"/>
        <color rgb="FF000000"/>
        <rFont val="Calibri"/>
        <family val="2"/>
        <charset val="238"/>
        <scheme val="minor"/>
      </rPr>
      <t>(4,2)</t>
    </r>
  </si>
  <si>
    <t>(1) Nielsen Audience Measurement, udział w oglądalności w grupie wszyscy 16-49 lat, cała doba, uwzględniono Live+2 (oglądalność z dnia emisji i z 2 kolejnych dni (tzw. Time Shift Viewing).
(2) Publicis Groupe, reklama spotowa i sponsoring (uwaga: dane mogą podlegać korektom wstecznym)
(3) Przychody z reklamy i sponsoringu Grupy Telewizji Polsat wg definicji Publicis Groupe
(4) Szacunki własne na podstawie danych Publicis Groupe</t>
  </si>
  <si>
    <t xml:space="preserve">(1) Nielsen Audience Measurement, All 16‐49, all day, SHR%, including Live+2, Audience shares include both live broadcasting and broadcasting during 2 consecutive days (i.e. Time Shifted Viewing)
(2) Publicis Groupe, spot advertising and sponsorship (note: data may be subject to retrospective correction)
(3)  Revenue from advertising and sponsorship of TV Polsat Group according to Publicis Groupe definition 
(4) Own estimates based on Publicis Groupe data </t>
  </si>
  <si>
    <t>GRUPA POLSAT-INTERIA</t>
  </si>
  <si>
    <t>POLSAT-INTERIA GROUP</t>
  </si>
  <si>
    <t>Średniomiesięczna liczba użytkowników (real users)</t>
  </si>
  <si>
    <t>Average monthly number of users (real users)</t>
  </si>
  <si>
    <t>real users (mln)</t>
  </si>
  <si>
    <t>real users (m)</t>
  </si>
  <si>
    <r>
      <t>Grupa Polsat-Interia</t>
    </r>
    <r>
      <rPr>
        <b/>
        <vertAlign val="superscript"/>
        <sz val="11"/>
        <color theme="1"/>
        <rFont val="Calibri"/>
        <family val="2"/>
        <charset val="238"/>
        <scheme val="minor"/>
      </rPr>
      <t>(1)</t>
    </r>
  </si>
  <si>
    <r>
      <t>Polsat-Interia Group</t>
    </r>
    <r>
      <rPr>
        <b/>
        <vertAlign val="superscript"/>
        <sz val="11"/>
        <color theme="1"/>
        <rFont val="Calibri"/>
        <family val="2"/>
        <charset val="238"/>
        <scheme val="minor"/>
      </rPr>
      <t>(1)</t>
    </r>
  </si>
  <si>
    <t>Grupa Wirtualna Polska</t>
  </si>
  <si>
    <t>Wirtualna Polska Group</t>
  </si>
  <si>
    <t>Grupa RAS Polska</t>
  </si>
  <si>
    <t>RAS Polska Group</t>
  </si>
  <si>
    <t>Grupa Polska Press</t>
  </si>
  <si>
    <t>Polska Press Group</t>
  </si>
  <si>
    <t>Grupa Gazeta.pl</t>
  </si>
  <si>
    <t>Gazeta.pl Group</t>
  </si>
  <si>
    <t>Średniomiesięczna liczba odsłon</t>
  </si>
  <si>
    <t>Average monthly number of page views</t>
  </si>
  <si>
    <t>odsłony (mln)</t>
  </si>
  <si>
    <t>page views (m)</t>
  </si>
  <si>
    <t>Source: 1Q18 - 3Q20 - Gemius/PBI, 4Q20 - Mediapanel, number of users – real users (RU) indicator
Note: (1) data for 2018, 2019 and H1'20 for Cyfrowy Polsat</t>
  </si>
  <si>
    <t>Źródło: 1Q18 - 3Q20 - Gemius/PBI, 4Q20 i poźniej - Mediapanel, liczba użytkowników – wskaźnik real users
(1) dane za 2018, 2019 i H1'20 dla Grupy Cyfrowy Polsat</t>
  </si>
  <si>
    <t>Assets held for sale</t>
  </si>
  <si>
    <t xml:space="preserve">includes cash and cash equivalents </t>
  </si>
  <si>
    <t>Liabilities held for sale</t>
  </si>
  <si>
    <t>includes lease liabilities</t>
  </si>
  <si>
    <t>Transfer to assets held for sale</t>
  </si>
  <si>
    <t>Zobowiązanie wobec akcjonariuszy Jednostki Dominującej z tytułu dywidendy</t>
  </si>
  <si>
    <t>Liabilities to shareholders of the Parent Company related to dividend</t>
  </si>
  <si>
    <t>Wypłacona dywidenda</t>
  </si>
  <si>
    <r>
      <t xml:space="preserve">Q1 </t>
    </r>
    <r>
      <rPr>
        <b/>
        <vertAlign val="superscript"/>
        <sz val="10"/>
        <color theme="0"/>
        <rFont val="Calibri"/>
        <family val="2"/>
        <charset val="238"/>
      </rPr>
      <t>1)</t>
    </r>
  </si>
  <si>
    <r>
      <t xml:space="preserve">2016 </t>
    </r>
    <r>
      <rPr>
        <b/>
        <vertAlign val="superscript"/>
        <sz val="10"/>
        <color theme="0"/>
        <rFont val="Calibri"/>
        <family val="2"/>
        <charset val="238"/>
      </rPr>
      <t>1)</t>
    </r>
  </si>
  <si>
    <r>
      <t xml:space="preserve">2018 </t>
    </r>
    <r>
      <rPr>
        <b/>
        <vertAlign val="superscript"/>
        <sz val="11"/>
        <color theme="0"/>
        <rFont val="Calibri"/>
        <family val="2"/>
        <charset val="238"/>
      </rPr>
      <t>2)</t>
    </r>
    <r>
      <rPr>
        <b/>
        <sz val="11"/>
        <color theme="0"/>
        <rFont val="Calibri"/>
        <family val="2"/>
        <charset val="238"/>
      </rPr>
      <t xml:space="preserve">
(dane wg MSR 18, bez konsolidacji Grupy Netia)  </t>
    </r>
  </si>
  <si>
    <r>
      <t xml:space="preserve">2018 </t>
    </r>
    <r>
      <rPr>
        <b/>
        <vertAlign val="superscript"/>
        <sz val="11"/>
        <color theme="0"/>
        <rFont val="Calibri"/>
        <family val="2"/>
        <charset val="238"/>
      </rPr>
      <t>2)</t>
    </r>
    <r>
      <rPr>
        <b/>
        <sz val="11"/>
        <color theme="0"/>
        <rFont val="Calibri"/>
        <family val="2"/>
        <charset val="238"/>
      </rPr>
      <t xml:space="preserve">
(IAS 18 basis, excl. consolidation of Netia Group)</t>
    </r>
  </si>
  <si>
    <r>
      <t xml:space="preserve">2018 </t>
    </r>
    <r>
      <rPr>
        <b/>
        <vertAlign val="superscript"/>
        <sz val="11"/>
        <color theme="0"/>
        <rFont val="Calibri"/>
        <family val="2"/>
        <charset val="238"/>
      </rPr>
      <t>3)</t>
    </r>
    <r>
      <rPr>
        <b/>
        <sz val="11"/>
        <color theme="0"/>
        <rFont val="Calibri"/>
        <family val="2"/>
        <charset val="238"/>
      </rPr>
      <t xml:space="preserve"> (dane wg MSSF 15 i MSR 17,
Grupa Netia konsolidowana od 22 maja 2018 r.)</t>
    </r>
  </si>
  <si>
    <r>
      <t xml:space="preserve">2019 </t>
    </r>
    <r>
      <rPr>
        <b/>
        <vertAlign val="superscript"/>
        <sz val="11"/>
        <color theme="0"/>
        <rFont val="Calibri"/>
        <family val="2"/>
        <charset val="238"/>
      </rPr>
      <t>4)</t>
    </r>
    <r>
      <rPr>
        <b/>
        <sz val="11"/>
        <color theme="0"/>
        <rFont val="Calibri"/>
        <family val="2"/>
        <charset val="238"/>
      </rPr>
      <t xml:space="preserve"> (dane według MSSF 15 i MSR 17)</t>
    </r>
  </si>
  <si>
    <t>2019 (dane wg MSSF 15 i MSSF 16)</t>
  </si>
  <si>
    <r>
      <t xml:space="preserve">2018 </t>
    </r>
    <r>
      <rPr>
        <b/>
        <vertAlign val="superscript"/>
        <sz val="11"/>
        <color theme="0"/>
        <rFont val="Calibri"/>
        <family val="2"/>
        <charset val="238"/>
      </rPr>
      <t>3)</t>
    </r>
    <r>
      <rPr>
        <b/>
        <sz val="11"/>
        <color theme="0"/>
        <rFont val="Calibri"/>
        <family val="2"/>
        <charset val="238"/>
      </rPr>
      <t xml:space="preserve"> (IFRS 15 and IAS 17 basis,
Netia Group consolidated as of May 22, 2018)</t>
    </r>
  </si>
  <si>
    <r>
      <t>2019</t>
    </r>
    <r>
      <rPr>
        <b/>
        <vertAlign val="superscript"/>
        <sz val="11"/>
        <color theme="0"/>
        <rFont val="Calibri"/>
        <family val="2"/>
        <charset val="238"/>
      </rPr>
      <t>4)</t>
    </r>
    <r>
      <rPr>
        <b/>
        <sz val="11"/>
        <color theme="0"/>
        <rFont val="Calibri"/>
        <family val="2"/>
        <charset val="238"/>
      </rPr>
      <t xml:space="preserve"> (IFRS 15 and IAS 17 basis)</t>
    </r>
  </si>
  <si>
    <t>2018 (dane wg MSR 17,
Grupa Netia konsolidowana od 22 maja 2018 r.)</t>
  </si>
  <si>
    <t>2019 (dane MSSF 16)</t>
  </si>
  <si>
    <t>2018 (IAS 17 basis,
Netia Group consolidated as of May 22, 2018)</t>
  </si>
  <si>
    <r>
      <t>2017</t>
    </r>
    <r>
      <rPr>
        <i/>
        <sz val="10"/>
        <color theme="0"/>
        <rFont val="Calibri"/>
        <family val="2"/>
        <charset val="238"/>
        <scheme val="minor"/>
      </rPr>
      <t xml:space="preserve"> (MSR 18/IAS 18 basis)</t>
    </r>
  </si>
  <si>
    <r>
      <t>2018</t>
    </r>
    <r>
      <rPr>
        <sz val="10"/>
        <color theme="0"/>
        <rFont val="Calibri"/>
        <family val="2"/>
        <charset val="238"/>
        <scheme val="minor"/>
      </rPr>
      <t xml:space="preserve"> </t>
    </r>
    <r>
      <rPr>
        <i/>
        <sz val="10"/>
        <color theme="0"/>
        <rFont val="Calibri"/>
        <family val="2"/>
        <charset val="238"/>
        <scheme val="minor"/>
      </rPr>
      <t>(MSSF 15 / IFRS 15 basis</t>
    </r>
    <r>
      <rPr>
        <b/>
        <i/>
        <sz val="10"/>
        <color theme="0"/>
        <rFont val="Calibri"/>
        <family val="2"/>
        <charset val="238"/>
        <scheme val="minor"/>
      </rPr>
      <t xml:space="preserve">
</t>
    </r>
    <r>
      <rPr>
        <i/>
        <sz val="10"/>
        <color theme="0"/>
        <rFont val="Calibri"/>
        <family val="2"/>
        <charset val="238"/>
        <scheme val="minor"/>
      </rPr>
      <t>Grupa Netia konsolidowana od 22 maja 2018 r. 
/ Netia Group consolidated since May 22, 2018)</t>
    </r>
  </si>
  <si>
    <r>
      <t xml:space="preserve">2019 </t>
    </r>
    <r>
      <rPr>
        <i/>
        <sz val="10"/>
        <color theme="0"/>
        <rFont val="Calibri"/>
        <family val="2"/>
        <charset val="238"/>
        <scheme val="minor"/>
      </rPr>
      <t>(MSSF 15 i MSSF 16 / IFRS 15 and IFRS 16 basis)</t>
    </r>
  </si>
  <si>
    <r>
      <t xml:space="preserve">31 grudnia </t>
    </r>
    <r>
      <rPr>
        <b/>
        <vertAlign val="superscript"/>
        <sz val="10"/>
        <color theme="0"/>
        <rFont val="Calibri"/>
        <family val="2"/>
        <charset val="238"/>
      </rPr>
      <t>1)</t>
    </r>
  </si>
  <si>
    <r>
      <t xml:space="preserve">31 December </t>
    </r>
    <r>
      <rPr>
        <b/>
        <vertAlign val="superscript"/>
        <sz val="10"/>
        <color theme="0"/>
        <rFont val="Calibri"/>
        <family val="2"/>
        <charset val="238"/>
        <scheme val="minor"/>
      </rPr>
      <t>1)</t>
    </r>
  </si>
  <si>
    <r>
      <t xml:space="preserve">2017 </t>
    </r>
    <r>
      <rPr>
        <i/>
        <sz val="10"/>
        <color theme="0"/>
        <rFont val="Calibri"/>
        <family val="2"/>
        <charset val="238"/>
        <scheme val="minor"/>
      </rPr>
      <t>(dane według MSR 18)</t>
    </r>
  </si>
  <si>
    <r>
      <t xml:space="preserve">2018 </t>
    </r>
    <r>
      <rPr>
        <i/>
        <sz val="10"/>
        <color theme="0"/>
        <rFont val="Calibri"/>
        <family val="2"/>
        <charset val="238"/>
        <scheme val="minor"/>
      </rPr>
      <t>(MSSF 15 / IFRS 15 basis
Grupa Netia konsolidowana od 22 maja 2018 r. 
/ Netia Group consolidated since May 22, 2018)</t>
    </r>
  </si>
  <si>
    <r>
      <t xml:space="preserve">2019 </t>
    </r>
    <r>
      <rPr>
        <i/>
        <sz val="10"/>
        <color theme="0"/>
        <rFont val="Calibri"/>
        <family val="2"/>
        <charset val="238"/>
        <scheme val="minor"/>
      </rPr>
      <t>(MSR 17 / IAS 17)</t>
    </r>
  </si>
  <si>
    <r>
      <t xml:space="preserve">2019 </t>
    </r>
    <r>
      <rPr>
        <i/>
        <sz val="10"/>
        <color theme="0"/>
        <rFont val="Calibri"/>
        <family val="2"/>
        <charset val="238"/>
        <scheme val="minor"/>
      </rPr>
      <t>(MSSF 16 / IFRS 16)</t>
    </r>
  </si>
  <si>
    <r>
      <t>SEGMENT USŁUG B2C i B2B</t>
    </r>
    <r>
      <rPr>
        <b/>
        <vertAlign val="superscript"/>
        <sz val="10"/>
        <color theme="0"/>
        <rFont val="Calibri"/>
        <family val="2"/>
        <charset val="238"/>
        <scheme val="minor"/>
      </rPr>
      <t>1)</t>
    </r>
  </si>
  <si>
    <r>
      <t>B2C AND B2B SERVICES SEGMENT</t>
    </r>
    <r>
      <rPr>
        <b/>
        <vertAlign val="superscript"/>
        <sz val="10"/>
        <color theme="0"/>
        <rFont val="Calibri"/>
        <family val="2"/>
        <charset val="238"/>
        <scheme val="minor"/>
      </rPr>
      <t>1)</t>
    </r>
  </si>
  <si>
    <r>
      <t>Łączna liczba RGU</t>
    </r>
    <r>
      <rPr>
        <b/>
        <vertAlign val="superscript"/>
        <sz val="10"/>
        <rFont val="Calibri"/>
        <family val="2"/>
        <charset val="238"/>
        <scheme val="minor"/>
      </rPr>
      <t>2)</t>
    </r>
    <r>
      <rPr>
        <b/>
        <sz val="10"/>
        <rFont val="Calibri"/>
        <family val="2"/>
        <charset val="238"/>
        <scheme val="minor"/>
      </rPr>
      <t xml:space="preserve"> (kontraktowe+przedpłacone)</t>
    </r>
  </si>
  <si>
    <r>
      <t>Total number of RGUs</t>
    </r>
    <r>
      <rPr>
        <b/>
        <vertAlign val="superscript"/>
        <sz val="10"/>
        <rFont val="Calibri"/>
        <family val="2"/>
        <charset val="238"/>
        <scheme val="minor"/>
      </rPr>
      <t>2)</t>
    </r>
    <r>
      <rPr>
        <b/>
        <sz val="10"/>
        <rFont val="Calibri"/>
        <family val="2"/>
        <charset val="238"/>
        <scheme val="minor"/>
      </rPr>
      <t xml:space="preserve"> (contract + prepaid), EOP</t>
    </r>
  </si>
  <si>
    <r>
      <t>ARPU na klienta</t>
    </r>
    <r>
      <rPr>
        <b/>
        <vertAlign val="superscript"/>
        <sz val="9"/>
        <color rgb="FF000000"/>
        <rFont val="Calibri"/>
        <family val="2"/>
        <charset val="238"/>
        <scheme val="minor"/>
      </rPr>
      <t>3)</t>
    </r>
    <r>
      <rPr>
        <b/>
        <sz val="9"/>
        <color rgb="FF000000"/>
        <rFont val="Calibri"/>
        <family val="2"/>
        <charset val="238"/>
        <scheme val="minor"/>
      </rPr>
      <t xml:space="preserve"> [PLN]</t>
    </r>
  </si>
  <si>
    <r>
      <t>ARPU per customer</t>
    </r>
    <r>
      <rPr>
        <b/>
        <vertAlign val="superscript"/>
        <sz val="9"/>
        <color rgb="FF000000"/>
        <rFont val="Calibri"/>
        <family val="2"/>
        <charset val="238"/>
        <scheme val="minor"/>
      </rPr>
      <t>3)</t>
    </r>
    <r>
      <rPr>
        <b/>
        <sz val="9"/>
        <color rgb="FF000000"/>
        <rFont val="Calibri"/>
        <family val="2"/>
        <charset val="238"/>
        <scheme val="minor"/>
      </rPr>
      <t xml:space="preserve"> [PLN]</t>
    </r>
  </si>
  <si>
    <r>
      <t xml:space="preserve">FY 2018 </t>
    </r>
    <r>
      <rPr>
        <b/>
        <vertAlign val="superscript"/>
        <sz val="10"/>
        <color theme="0"/>
        <rFont val="Calibri"/>
        <family val="2"/>
        <charset val="238"/>
        <scheme val="minor"/>
      </rPr>
      <t>6</t>
    </r>
  </si>
  <si>
    <r>
      <t>2Q</t>
    </r>
    <r>
      <rPr>
        <b/>
        <vertAlign val="superscript"/>
        <sz val="10"/>
        <color theme="0"/>
        <rFont val="Calibri"/>
        <family val="2"/>
        <charset val="238"/>
        <scheme val="minor"/>
      </rPr>
      <t>6</t>
    </r>
  </si>
  <si>
    <r>
      <t>3Q</t>
    </r>
    <r>
      <rPr>
        <b/>
        <vertAlign val="superscript"/>
        <sz val="10"/>
        <color theme="0"/>
        <rFont val="Calibri"/>
        <family val="2"/>
        <charset val="238"/>
        <scheme val="minor"/>
      </rPr>
      <t>6</t>
    </r>
  </si>
  <si>
    <r>
      <t>4Q</t>
    </r>
    <r>
      <rPr>
        <b/>
        <vertAlign val="superscript"/>
        <sz val="10"/>
        <color theme="0"/>
        <rFont val="Calibri"/>
        <family val="2"/>
        <charset val="238"/>
        <scheme val="minor"/>
      </rPr>
      <t>6</t>
    </r>
  </si>
  <si>
    <r>
      <t>1Q</t>
    </r>
    <r>
      <rPr>
        <b/>
        <vertAlign val="superscript"/>
        <sz val="10"/>
        <color theme="0"/>
        <rFont val="Calibri"/>
        <family val="2"/>
        <charset val="238"/>
        <scheme val="minor"/>
      </rPr>
      <t>6</t>
    </r>
  </si>
  <si>
    <t>FINACIAL RATIOS</t>
  </si>
  <si>
    <t>Q1'10</t>
  </si>
  <si>
    <t>Q2'10</t>
  </si>
  <si>
    <t>Q3'10</t>
  </si>
  <si>
    <t>Q4'10</t>
  </si>
  <si>
    <t>Q1'11</t>
  </si>
  <si>
    <t>Q2'11</t>
  </si>
  <si>
    <t>Q3'11</t>
  </si>
  <si>
    <t>Q4'11</t>
  </si>
  <si>
    <t>Q1'12</t>
  </si>
  <si>
    <t>Q2'12</t>
  </si>
  <si>
    <t>Q3'12</t>
  </si>
  <si>
    <t>Q4'12</t>
  </si>
  <si>
    <t>Q1'13</t>
  </si>
  <si>
    <t>Q2'13</t>
  </si>
  <si>
    <t>Q3'13</t>
  </si>
  <si>
    <t>Q4'13</t>
  </si>
  <si>
    <t>Q1'14</t>
  </si>
  <si>
    <t>Q2'14</t>
  </si>
  <si>
    <t>Q3'14</t>
  </si>
  <si>
    <t>Q4'14</t>
  </si>
  <si>
    <t>Q1'15</t>
  </si>
  <si>
    <t>Q2'15</t>
  </si>
  <si>
    <t>Q3'15</t>
  </si>
  <si>
    <t>Q4'15</t>
  </si>
  <si>
    <t>Q1'16</t>
  </si>
  <si>
    <t>Q2'16</t>
  </si>
  <si>
    <t>Q3'16</t>
  </si>
  <si>
    <t>Q4'16</t>
  </si>
  <si>
    <r>
      <t xml:space="preserve">Q1'17
</t>
    </r>
    <r>
      <rPr>
        <i/>
        <sz val="10"/>
        <color theme="0"/>
        <rFont val="Calibri"/>
        <family val="2"/>
        <charset val="238"/>
      </rPr>
      <t>(IAS 18 basis)</t>
    </r>
  </si>
  <si>
    <r>
      <t xml:space="preserve">Q2'17
</t>
    </r>
    <r>
      <rPr>
        <i/>
        <sz val="10"/>
        <color theme="0"/>
        <rFont val="Calibri"/>
        <family val="2"/>
        <charset val="238"/>
      </rPr>
      <t>(IAS 18 basis)</t>
    </r>
  </si>
  <si>
    <r>
      <t xml:space="preserve">Q3'17
</t>
    </r>
    <r>
      <rPr>
        <i/>
        <sz val="10"/>
        <color theme="0"/>
        <rFont val="Calibri"/>
        <family val="2"/>
        <charset val="238"/>
      </rPr>
      <t>(IAS 18 basis)</t>
    </r>
  </si>
  <si>
    <r>
      <t xml:space="preserve">Q4'17
</t>
    </r>
    <r>
      <rPr>
        <i/>
        <sz val="10"/>
        <color theme="0"/>
        <rFont val="Calibri"/>
        <family val="2"/>
        <charset val="238"/>
      </rPr>
      <t>(IAS 18 basis)</t>
    </r>
  </si>
  <si>
    <r>
      <t xml:space="preserve">2017
</t>
    </r>
    <r>
      <rPr>
        <i/>
        <sz val="10"/>
        <color theme="0"/>
        <rFont val="Calibri"/>
        <family val="2"/>
        <charset val="238"/>
      </rPr>
      <t>(IAS 18 basis)</t>
    </r>
  </si>
  <si>
    <r>
      <t xml:space="preserve">Q1'18
</t>
    </r>
    <r>
      <rPr>
        <i/>
        <sz val="10"/>
        <color theme="0"/>
        <rFont val="Calibri"/>
        <family val="2"/>
        <charset val="238"/>
      </rPr>
      <t>(IFRS 15 basis)</t>
    </r>
  </si>
  <si>
    <r>
      <t xml:space="preserve">Q2'18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</si>
  <si>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</si>
  <si>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</si>
  <si>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(IFRS 15 basis)</t>
    </r>
  </si>
  <si>
    <r>
      <t xml:space="preserve">Q1'19
</t>
    </r>
    <r>
      <rPr>
        <i/>
        <sz val="10"/>
        <color theme="0"/>
        <rFont val="Calibri"/>
        <family val="2"/>
        <charset val="238"/>
      </rPr>
      <t>(IFRS 16 basis)</t>
    </r>
  </si>
  <si>
    <r>
      <t xml:space="preserve">Q2'19
</t>
    </r>
    <r>
      <rPr>
        <i/>
        <sz val="10"/>
        <color theme="0"/>
        <rFont val="Calibri"/>
        <family val="2"/>
        <charset val="238"/>
      </rPr>
      <t>(IFRS 16 basis)</t>
    </r>
  </si>
  <si>
    <r>
      <t xml:space="preserve">Q3'19
</t>
    </r>
    <r>
      <rPr>
        <i/>
        <sz val="10"/>
        <color theme="0"/>
        <rFont val="Calibri"/>
        <family val="2"/>
        <charset val="238"/>
      </rPr>
      <t>(IFRS 16 basis)</t>
    </r>
  </si>
  <si>
    <r>
      <t xml:space="preserve">Q4'19
</t>
    </r>
    <r>
      <rPr>
        <i/>
        <sz val="10"/>
        <color theme="0"/>
        <rFont val="Calibri"/>
        <family val="2"/>
        <charset val="238"/>
      </rPr>
      <t>(IFRS 16 basis)</t>
    </r>
  </si>
  <si>
    <r>
      <t xml:space="preserve">2019
</t>
    </r>
    <r>
      <rPr>
        <i/>
        <sz val="10"/>
        <color theme="0"/>
        <rFont val="Calibri"/>
        <family val="2"/>
        <charset val="238"/>
      </rPr>
      <t>(IFRS 16 basis)</t>
    </r>
  </si>
  <si>
    <r>
      <t xml:space="preserve">Q1'20
</t>
    </r>
    <r>
      <rPr>
        <i/>
        <sz val="10"/>
        <color theme="0"/>
        <rFont val="Calibri"/>
        <family val="2"/>
        <charset val="238"/>
      </rPr>
      <t>(IFRS 16 basis)</t>
    </r>
  </si>
  <si>
    <r>
      <t xml:space="preserve">Q2'20
</t>
    </r>
    <r>
      <rPr>
        <i/>
        <sz val="10"/>
        <color theme="0"/>
        <rFont val="Calibri"/>
        <family val="2"/>
        <charset val="238"/>
      </rPr>
      <t>(IFRS 16 basis)</t>
    </r>
  </si>
  <si>
    <r>
      <t xml:space="preserve">Q3'20
</t>
    </r>
    <r>
      <rPr>
        <i/>
        <sz val="10"/>
        <color theme="0"/>
        <rFont val="Calibri"/>
        <family val="2"/>
        <charset val="238"/>
      </rPr>
      <t>(IFRS 16 basis)</t>
    </r>
  </si>
  <si>
    <r>
      <t xml:space="preserve">Q4'20
</t>
    </r>
    <r>
      <rPr>
        <i/>
        <sz val="10"/>
        <color theme="0"/>
        <rFont val="Calibri"/>
        <family val="2"/>
        <charset val="238"/>
      </rPr>
      <t>(IFRS 16 basis)</t>
    </r>
  </si>
  <si>
    <r>
      <t xml:space="preserve">2020
</t>
    </r>
    <r>
      <rPr>
        <i/>
        <sz val="10"/>
        <color theme="0"/>
        <rFont val="Calibri"/>
        <family val="2"/>
        <charset val="238"/>
      </rPr>
      <t>(IFRS 16 basis)</t>
    </r>
  </si>
  <si>
    <r>
      <t xml:space="preserve">Q1'21
</t>
    </r>
    <r>
      <rPr>
        <i/>
        <sz val="10"/>
        <color theme="0"/>
        <rFont val="Calibri"/>
        <family val="2"/>
        <charset val="238"/>
      </rPr>
      <t>(IFRS 16 basis)</t>
    </r>
  </si>
  <si>
    <r>
      <t xml:space="preserve">Q2'21
</t>
    </r>
    <r>
      <rPr>
        <i/>
        <sz val="10"/>
        <color theme="0"/>
        <rFont val="Calibri"/>
        <family val="2"/>
        <charset val="238"/>
      </rPr>
      <t>(IFRS 16 basis)</t>
    </r>
  </si>
  <si>
    <t>WSKAŹNIKI FINANSOWE</t>
  </si>
  <si>
    <r>
      <t xml:space="preserve">Q1'17
</t>
    </r>
    <r>
      <rPr>
        <i/>
        <sz val="10"/>
        <color theme="0"/>
        <rFont val="Calibri"/>
        <family val="2"/>
        <charset val="238"/>
      </rPr>
      <t>(dane wg MSR 18)</t>
    </r>
  </si>
  <si>
    <r>
      <t xml:space="preserve">Q2'17
</t>
    </r>
    <r>
      <rPr>
        <i/>
        <sz val="10"/>
        <color theme="0"/>
        <rFont val="Calibri"/>
        <family val="2"/>
        <charset val="238"/>
      </rPr>
      <t>(dane wg MSR 18)</t>
    </r>
  </si>
  <si>
    <r>
      <t xml:space="preserve">Q3'17
</t>
    </r>
    <r>
      <rPr>
        <i/>
        <sz val="10"/>
        <color theme="0"/>
        <rFont val="Calibri"/>
        <family val="2"/>
        <charset val="238"/>
      </rPr>
      <t>(dane wg MSR 18)</t>
    </r>
  </si>
  <si>
    <r>
      <t xml:space="preserve">Q4'17
</t>
    </r>
    <r>
      <rPr>
        <i/>
        <sz val="10"/>
        <color theme="0"/>
        <rFont val="Calibri"/>
        <family val="2"/>
        <charset val="238"/>
      </rPr>
      <t>(dane wg MSR 18)</t>
    </r>
  </si>
  <si>
    <r>
      <t xml:space="preserve">2017
</t>
    </r>
    <r>
      <rPr>
        <i/>
        <sz val="10"/>
        <color theme="0"/>
        <rFont val="Calibri"/>
        <family val="2"/>
        <charset val="238"/>
      </rPr>
      <t>(dane wg MSR 18)</t>
    </r>
  </si>
  <si>
    <r>
      <t xml:space="preserve">Q1'18
</t>
    </r>
    <r>
      <rPr>
        <i/>
        <sz val="10"/>
        <color theme="0"/>
        <rFont val="Calibri"/>
        <family val="2"/>
        <charset val="238"/>
      </rPr>
      <t>(dane wg MSSF 15)</t>
    </r>
  </si>
  <si>
    <r>
      <t xml:space="preserve">Q2'18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</si>
  <si>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</si>
  <si>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</si>
  <si>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(dane wg MSSF 15)</t>
    </r>
  </si>
  <si>
    <r>
      <t xml:space="preserve">Q1'19
</t>
    </r>
    <r>
      <rPr>
        <i/>
        <sz val="10"/>
        <color theme="0"/>
        <rFont val="Calibri"/>
        <family val="2"/>
        <charset val="238"/>
      </rPr>
      <t>(dane wg MSSF 16)</t>
    </r>
  </si>
  <si>
    <r>
      <t xml:space="preserve">Q2'19
</t>
    </r>
    <r>
      <rPr>
        <i/>
        <sz val="10"/>
        <color theme="0"/>
        <rFont val="Calibri"/>
        <family val="2"/>
        <charset val="238"/>
      </rPr>
      <t>(dane wg MSSF 16)</t>
    </r>
  </si>
  <si>
    <r>
      <t xml:space="preserve">Q3'19
</t>
    </r>
    <r>
      <rPr>
        <i/>
        <sz val="10"/>
        <color theme="0"/>
        <rFont val="Calibri"/>
        <family val="2"/>
        <charset val="238"/>
      </rPr>
      <t>(dane wg MSSF 16)</t>
    </r>
  </si>
  <si>
    <r>
      <t xml:space="preserve">2019
</t>
    </r>
    <r>
      <rPr>
        <i/>
        <sz val="10"/>
        <color theme="0"/>
        <rFont val="Calibri"/>
        <family val="2"/>
        <charset val="238"/>
      </rPr>
      <t>(dane wg MSSF 16)</t>
    </r>
  </si>
  <si>
    <r>
      <t xml:space="preserve">Q1'20
</t>
    </r>
    <r>
      <rPr>
        <i/>
        <sz val="10"/>
        <color theme="0"/>
        <rFont val="Calibri"/>
        <family val="2"/>
        <charset val="238"/>
      </rPr>
      <t>(dane wg MSSF 16)</t>
    </r>
  </si>
  <si>
    <r>
      <t xml:space="preserve">Q2'20
</t>
    </r>
    <r>
      <rPr>
        <i/>
        <sz val="10"/>
        <color theme="0"/>
        <rFont val="Calibri"/>
        <family val="2"/>
        <charset val="238"/>
      </rPr>
      <t>(dane wg MSSF 16)</t>
    </r>
  </si>
  <si>
    <r>
      <t xml:space="preserve">Q3'20
</t>
    </r>
    <r>
      <rPr>
        <i/>
        <sz val="10"/>
        <color theme="0"/>
        <rFont val="Calibri"/>
        <family val="2"/>
        <charset val="238"/>
      </rPr>
      <t>(dane wg MSSF 16)</t>
    </r>
  </si>
  <si>
    <r>
      <t xml:space="preserve">Q4'20
</t>
    </r>
    <r>
      <rPr>
        <i/>
        <sz val="10"/>
        <color theme="0"/>
        <rFont val="Calibri"/>
        <family val="2"/>
        <charset val="238"/>
      </rPr>
      <t>(dane wg MSSF 16)</t>
    </r>
  </si>
  <si>
    <r>
      <t xml:space="preserve">2020
</t>
    </r>
    <r>
      <rPr>
        <i/>
        <sz val="10"/>
        <color theme="0"/>
        <rFont val="Calibri"/>
        <family val="2"/>
        <charset val="238"/>
      </rPr>
      <t>(dane wg MSSF 16)</t>
    </r>
  </si>
  <si>
    <r>
      <t xml:space="preserve">Q1'21
</t>
    </r>
    <r>
      <rPr>
        <i/>
        <sz val="10"/>
        <color theme="0"/>
        <rFont val="Calibri"/>
        <family val="2"/>
        <charset val="238"/>
      </rPr>
      <t>(dane wg MSSF 16)</t>
    </r>
  </si>
  <si>
    <r>
      <t xml:space="preserve">Q2'21
</t>
    </r>
    <r>
      <rPr>
        <i/>
        <sz val="10"/>
        <color theme="0"/>
        <rFont val="Calibri"/>
        <family val="2"/>
        <charset val="238"/>
      </rPr>
      <t>(dane wg MSSF 16)</t>
    </r>
  </si>
  <si>
    <r>
      <t xml:space="preserve">EBITDA margin </t>
    </r>
    <r>
      <rPr>
        <vertAlign val="superscript"/>
        <sz val="9"/>
        <color indexed="8"/>
        <rFont val="Calibri"/>
        <family val="2"/>
        <charset val="238"/>
      </rPr>
      <t>1)</t>
    </r>
  </si>
  <si>
    <r>
      <t>Marża EBITDA</t>
    </r>
    <r>
      <rPr>
        <vertAlign val="superscript"/>
        <sz val="10"/>
        <color indexed="8"/>
        <rFont val="Calibri"/>
        <family val="2"/>
        <charset val="238"/>
      </rPr>
      <t xml:space="preserve"> 1)</t>
    </r>
  </si>
  <si>
    <r>
      <t xml:space="preserve">Net profit margin </t>
    </r>
    <r>
      <rPr>
        <vertAlign val="superscript"/>
        <sz val="9"/>
        <color indexed="8"/>
        <rFont val="Calibri"/>
        <family val="2"/>
        <charset val="238"/>
      </rPr>
      <t>2)</t>
    </r>
  </si>
  <si>
    <r>
      <t>Marża zysku netto</t>
    </r>
    <r>
      <rPr>
        <vertAlign val="superscript"/>
        <sz val="10"/>
        <color indexed="8"/>
        <rFont val="Calibri"/>
        <family val="2"/>
        <charset val="238"/>
      </rPr>
      <t xml:space="preserve"> 2)</t>
    </r>
  </si>
  <si>
    <t>&lt;0</t>
  </si>
  <si>
    <r>
      <t xml:space="preserve">Return on assets (ROA) </t>
    </r>
    <r>
      <rPr>
        <vertAlign val="superscript"/>
        <sz val="9"/>
        <color indexed="8"/>
        <rFont val="Calibri"/>
        <family val="2"/>
        <charset val="238"/>
      </rPr>
      <t>3)</t>
    </r>
  </si>
  <si>
    <r>
      <t xml:space="preserve">Wskaźnik rentowności aktywów (ROA) </t>
    </r>
    <r>
      <rPr>
        <vertAlign val="superscript"/>
        <sz val="10"/>
        <color indexed="8"/>
        <rFont val="Calibri"/>
        <family val="2"/>
        <charset val="238"/>
      </rPr>
      <t>3)</t>
    </r>
  </si>
  <si>
    <r>
      <t xml:space="preserve">Return on equity (ROE) </t>
    </r>
    <r>
      <rPr>
        <vertAlign val="superscript"/>
        <sz val="9"/>
        <color indexed="8"/>
        <rFont val="Calibri"/>
        <family val="2"/>
        <charset val="238"/>
      </rPr>
      <t>4)</t>
    </r>
  </si>
  <si>
    <r>
      <t>Wskaźnik rentowności kapitału własnego (ROE)</t>
    </r>
    <r>
      <rPr>
        <vertAlign val="superscript"/>
        <sz val="10"/>
        <color indexed="8"/>
        <rFont val="Calibri"/>
        <family val="2"/>
        <charset val="238"/>
      </rPr>
      <t xml:space="preserve"> 4)</t>
    </r>
  </si>
  <si>
    <r>
      <t xml:space="preserve">Current ratio </t>
    </r>
    <r>
      <rPr>
        <vertAlign val="superscript"/>
        <sz val="9"/>
        <color indexed="8"/>
        <rFont val="Calibri"/>
        <family val="2"/>
        <charset val="238"/>
      </rPr>
      <t>5)</t>
    </r>
  </si>
  <si>
    <r>
      <t xml:space="preserve">Wskaźnik płynności bieżącej (current ratio) </t>
    </r>
    <r>
      <rPr>
        <vertAlign val="superscript"/>
        <sz val="10"/>
        <color indexed="8"/>
        <rFont val="Calibri"/>
        <family val="2"/>
        <charset val="238"/>
      </rPr>
      <t>5)</t>
    </r>
  </si>
  <si>
    <r>
      <t xml:space="preserve">Debt ratio </t>
    </r>
    <r>
      <rPr>
        <vertAlign val="superscript"/>
        <sz val="9"/>
        <color indexed="8"/>
        <rFont val="Calibri"/>
        <family val="2"/>
        <charset val="238"/>
      </rPr>
      <t>6)</t>
    </r>
  </si>
  <si>
    <r>
      <t xml:space="preserve">Wskaźnik ogólnego zadłużenia </t>
    </r>
    <r>
      <rPr>
        <vertAlign val="superscript"/>
        <sz val="10"/>
        <color indexed="8"/>
        <rFont val="Calibri"/>
        <family val="2"/>
        <charset val="238"/>
      </rPr>
      <t>6)</t>
    </r>
  </si>
  <si>
    <r>
      <rPr>
        <i/>
        <vertAlign val="superscript"/>
        <sz val="9"/>
        <color indexed="8"/>
        <rFont val="Calibri"/>
        <family val="2"/>
        <charset val="238"/>
      </rPr>
      <t>1)</t>
    </r>
    <r>
      <rPr>
        <i/>
        <sz val="9"/>
        <color indexed="8"/>
        <rFont val="Calibri"/>
        <family val="2"/>
        <charset val="238"/>
      </rPr>
      <t xml:space="preserve"> EBITDA/sales revenue</t>
    </r>
  </si>
  <si>
    <r>
      <rPr>
        <i/>
        <vertAlign val="superscript"/>
        <sz val="9"/>
        <color indexed="8"/>
        <rFont val="Calibri"/>
        <family val="2"/>
        <charset val="238"/>
      </rPr>
      <t>1)</t>
    </r>
    <r>
      <rPr>
        <i/>
        <sz val="9"/>
        <color indexed="8"/>
        <rFont val="Calibri"/>
        <family val="2"/>
        <charset val="238"/>
      </rPr>
      <t xml:space="preserve"> EBITDA/przychody ze sprzedaży</t>
    </r>
  </si>
  <si>
    <r>
      <rPr>
        <i/>
        <vertAlign val="superscript"/>
        <sz val="9"/>
        <color indexed="8"/>
        <rFont val="Calibri"/>
        <family val="2"/>
        <charset val="238"/>
      </rPr>
      <t>2)</t>
    </r>
    <r>
      <rPr>
        <i/>
        <sz val="9"/>
        <color indexed="8"/>
        <rFont val="Calibri"/>
        <family val="2"/>
        <charset val="238"/>
      </rPr>
      <t xml:space="preserve"> net profit/sales revenue</t>
    </r>
  </si>
  <si>
    <r>
      <rPr>
        <i/>
        <vertAlign val="superscript"/>
        <sz val="9"/>
        <color indexed="8"/>
        <rFont val="Calibri"/>
        <family val="2"/>
        <charset val="238"/>
      </rPr>
      <t>2)</t>
    </r>
    <r>
      <rPr>
        <i/>
        <sz val="9"/>
        <color indexed="8"/>
        <rFont val="Calibri"/>
        <family val="2"/>
        <charset val="238"/>
      </rPr>
      <t xml:space="preserve"> zysk netto/przychody ze sprzedaży</t>
    </r>
  </si>
  <si>
    <r>
      <rPr>
        <i/>
        <vertAlign val="superscript"/>
        <sz val="9"/>
        <color indexed="8"/>
        <rFont val="Calibri"/>
        <family val="2"/>
        <charset val="238"/>
      </rPr>
      <t xml:space="preserve">3) </t>
    </r>
    <r>
      <rPr>
        <i/>
        <sz val="9"/>
        <color indexed="8"/>
        <rFont val="Calibri"/>
        <family val="2"/>
        <charset val="238"/>
      </rPr>
      <t>net profit/total assets</t>
    </r>
  </si>
  <si>
    <r>
      <rPr>
        <i/>
        <vertAlign val="superscript"/>
        <sz val="9"/>
        <color indexed="8"/>
        <rFont val="Calibri"/>
        <family val="2"/>
        <charset val="238"/>
      </rPr>
      <t>3)</t>
    </r>
    <r>
      <rPr>
        <i/>
        <sz val="9"/>
        <color indexed="8"/>
        <rFont val="Calibri"/>
        <family val="2"/>
        <charset val="238"/>
      </rPr>
      <t xml:space="preserve"> zysk netto/aktywa ogółem</t>
    </r>
  </si>
  <si>
    <r>
      <rPr>
        <i/>
        <vertAlign val="superscript"/>
        <sz val="9"/>
        <color indexed="8"/>
        <rFont val="Calibri"/>
        <family val="2"/>
        <charset val="238"/>
      </rPr>
      <t>4)</t>
    </r>
    <r>
      <rPr>
        <i/>
        <sz val="9"/>
        <color indexed="8"/>
        <rFont val="Calibri"/>
        <family val="2"/>
        <charset val="238"/>
      </rPr>
      <t xml:space="preserve"> net profit/(equity-net profit)</t>
    </r>
  </si>
  <si>
    <r>
      <rPr>
        <i/>
        <vertAlign val="superscript"/>
        <sz val="9"/>
        <color indexed="8"/>
        <rFont val="Calibri"/>
        <family val="2"/>
        <charset val="238"/>
      </rPr>
      <t>4)</t>
    </r>
    <r>
      <rPr>
        <i/>
        <sz val="9"/>
        <color indexed="8"/>
        <rFont val="Calibri"/>
        <family val="2"/>
        <charset val="238"/>
      </rPr>
      <t xml:space="preserve"> zysk netto/(kapitał własny-zysk netto)</t>
    </r>
  </si>
  <si>
    <r>
      <rPr>
        <i/>
        <vertAlign val="superscript"/>
        <sz val="9"/>
        <color indexed="8"/>
        <rFont val="Calibri"/>
        <family val="2"/>
        <charset val="238"/>
      </rPr>
      <t>5)</t>
    </r>
    <r>
      <rPr>
        <i/>
        <sz val="9"/>
        <color indexed="8"/>
        <rFont val="Calibri"/>
        <family val="2"/>
        <charset val="238"/>
      </rPr>
      <t xml:space="preserve"> current assets/current liabilities</t>
    </r>
  </si>
  <si>
    <r>
      <rPr>
        <i/>
        <vertAlign val="superscript"/>
        <sz val="9"/>
        <color indexed="8"/>
        <rFont val="Calibri"/>
        <family val="2"/>
        <charset val="238"/>
      </rPr>
      <t>5)</t>
    </r>
    <r>
      <rPr>
        <i/>
        <sz val="9"/>
        <color indexed="8"/>
        <rFont val="Calibri"/>
        <family val="2"/>
        <charset val="238"/>
      </rPr>
      <t xml:space="preserve"> aktywa bieżące/zobowiązania bieżące</t>
    </r>
  </si>
  <si>
    <r>
      <rPr>
        <i/>
        <vertAlign val="superscript"/>
        <sz val="9"/>
        <color indexed="8"/>
        <rFont val="Calibri"/>
        <family val="2"/>
        <charset val="238"/>
      </rPr>
      <t>6)</t>
    </r>
    <r>
      <rPr>
        <i/>
        <sz val="9"/>
        <color indexed="8"/>
        <rFont val="Calibri"/>
        <family val="2"/>
        <charset val="238"/>
      </rPr>
      <t xml:space="preserve"> total liabilities/total assets</t>
    </r>
  </si>
  <si>
    <r>
      <rPr>
        <i/>
        <vertAlign val="superscript"/>
        <sz val="9"/>
        <color indexed="8"/>
        <rFont val="Calibri"/>
        <family val="2"/>
        <charset val="238"/>
      </rPr>
      <t xml:space="preserve">6) </t>
    </r>
    <r>
      <rPr>
        <i/>
        <sz val="9"/>
        <color indexed="8"/>
        <rFont val="Calibri"/>
        <family val="2"/>
        <charset val="238"/>
      </rPr>
      <t>zobowiązania ogółem/aktywa ogółem</t>
    </r>
  </si>
  <si>
    <r>
      <rPr>
        <i/>
        <vertAlign val="superscript"/>
        <sz val="9"/>
        <color indexed="8"/>
        <rFont val="Calibri"/>
        <family val="2"/>
        <charset val="238"/>
      </rPr>
      <t>7)</t>
    </r>
    <r>
      <rPr>
        <i/>
        <sz val="9"/>
        <color indexed="8"/>
        <rFont val="Calibri"/>
        <family val="2"/>
        <charset val="238"/>
      </rPr>
      <t xml:space="preserve"> Netia Group consolidated as of May 22, 2018.</t>
    </r>
  </si>
  <si>
    <r>
      <rPr>
        <i/>
        <vertAlign val="superscript"/>
        <sz val="9"/>
        <color indexed="8"/>
        <rFont val="Calibri"/>
        <family val="2"/>
        <charset val="238"/>
      </rPr>
      <t>7)</t>
    </r>
    <r>
      <rPr>
        <i/>
        <sz val="9"/>
        <color indexed="8"/>
        <rFont val="Calibri"/>
        <family val="2"/>
        <charset val="238"/>
      </rPr>
      <t xml:space="preserve"> Grupa Netia konsolidowana od 22 maja 2018 roku.</t>
    </r>
  </si>
  <si>
    <t>Profit/(loss) from operating activities</t>
  </si>
  <si>
    <r>
      <t xml:space="preserve">Acquisition of property, plant and equipment, and other intangible assets </t>
    </r>
    <r>
      <rPr>
        <b/>
        <vertAlign val="superscript"/>
        <sz val="11"/>
        <color theme="1"/>
        <rFont val="Calibri"/>
        <family val="2"/>
        <charset val="238"/>
        <scheme val="minor"/>
      </rPr>
      <t>2)</t>
    </r>
  </si>
  <si>
    <t xml:space="preserve">B2C and B2B services segment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</si>
</sst>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42" formatCode="_-* #,##0\ &quot;zł&quot;_-;\-* #,##0\ &quot;zł&quot;_-;_-* &quot;-&quot;\ &quot;zł&quot;_-;_-@_-"/>
    <numFmt numFmtId="44" formatCode="_-* #,##0.00\ &quot;zł&quot;_-;\-* #,##0.00\ &quot;zł&quot;_-;_-* &quot;-&quot;??\ &quot;zł&quot;_-;_-@_-"/>
    <numFmt numFmtId="164" formatCode="_-* #,##0.00\ _z_ł_-;\-* #,##0.00\ _z_ł_-;_-* &quot;-&quot;??\ _z_ł_-;_-@_-"/>
    <numFmt numFmtId="165" formatCode="_(* #,##0_);_(* \(#,##0\);_(* &quot;-&quot;_);_(@_)"/>
    <numFmt numFmtId="166" formatCode="_(* #,##0.00_);_(* \(#,##0.00\);_(* &quot;-&quot;??_);_(@_)"/>
    <numFmt numFmtId="167" formatCode="0.0"/>
    <numFmt numFmtId="168" formatCode="0.000"/>
    <numFmt numFmtId="169" formatCode="0.0%"/>
    <numFmt numFmtId="170" formatCode="#,##0.0"/>
    <numFmt numFmtId="171" formatCode="#,##0.0;\-#,##0.0"/>
    <numFmt numFmtId="172" formatCode="#,##0.0\ ;\(#,##0\)"/>
    <numFmt numFmtId="173" formatCode="#,##0.0\ ;\(#,##0.0\)"/>
    <numFmt numFmtId="174" formatCode="\-"/>
    <numFmt numFmtId="175" formatCode="###0.0"/>
    <numFmt numFmtId="176" formatCode="###0.0;\(###0.0\)"/>
    <numFmt numFmtId="177" formatCode="#,##0.0;\(#,##0.0\)"/>
    <numFmt numFmtId="178" formatCode="_-* #,##0.00\ [$€-1]_-;\-* #,##0.00\ [$€-1]_-;_-* &quot;-&quot;??\ [$€-1]_-"/>
    <numFmt numFmtId="179" formatCode="#,##0.00;\(#,##0.00\)"/>
    <numFmt numFmtId="180" formatCode="##\.##0.0;\(##\.##0.0\)"/>
    <numFmt numFmtId="181" formatCode="#,##0.0\ ;\(#,##0.0\);\-"/>
    <numFmt numFmtId="182" formatCode="#,##0.0;\(#,##0.0\);\-"/>
    <numFmt numFmtId="183" formatCode="#,##0.000;\(#,##0.000\);\-"/>
    <numFmt numFmtId="184" formatCode="#,##0.0,;\(#,##0.0\)"/>
    <numFmt numFmtId="185" formatCode="General;\ \(General\)"/>
    <numFmt numFmtId="186" formatCode="#,##0.00;\(#,##0.00\);\-"/>
    <numFmt numFmtId="187" formatCode="_([$€]* #,##0.00_);_([$€]* \(#,##0.00\);_([$€]* &quot;-&quot;??_);_(@_)"/>
    <numFmt numFmtId="188" formatCode="[$-415]mmm\ yy;@"/>
    <numFmt numFmtId="189" formatCode="_ &quot;kr&quot;\ * #,##0.00_ ;_ &quot;kr&quot;\ * \-#,##0.00_ ;_ &quot;kr&quot;\ * &quot;-&quot;??_ ;_ @_ "/>
    <numFmt numFmtId="190" formatCode="_ * #,##0.00_ ;_ * \-#,##0.00_ ;_ * &quot;-&quot;??_ ;_ @_ "/>
    <numFmt numFmtId="191" formatCode="&quot;$&quot;#,##0;[Red]\-&quot;$&quot;#,##0"/>
    <numFmt numFmtId="192" formatCode="d/m/yy\ h:mm"/>
    <numFmt numFmtId="193" formatCode="General_)"/>
    <numFmt numFmtId="194" formatCode="0.000000000"/>
    <numFmt numFmtId="195" formatCode="\k\$#"/>
    <numFmt numFmtId="196" formatCode="\H\U\F\ 0.000"/>
    <numFmt numFmtId="197" formatCode="&quot;$&quot;#,##0.00\ ;\(&quot;$&quot;#,##0.00\)"/>
    <numFmt numFmtId="198" formatCode="\k\$\ 0.000"/>
    <numFmt numFmtId="199" formatCode="\k\E\C\U\ 0.000"/>
    <numFmt numFmtId="200" formatCode="\k\H\U\F\ 0.000"/>
    <numFmt numFmtId="201" formatCode="\k\L\E\ 0.000"/>
    <numFmt numFmtId="202" formatCode="_-* #,##0.00\ &quot;Sk&quot;_-;\-* #,##0.00\ &quot;Sk&quot;_-;_-* &quot;-&quot;??\ &quot;Sk&quot;_-;_-@_-"/>
    <numFmt numFmtId="203" formatCode="_ * #,##0_)\ _$_ ;_ * \(#,##0\)\ _$_ ;_ * &quot;-&quot;_)\ _$_ ;_ @_ "/>
    <numFmt numFmtId="204" formatCode="_ * #,##0.00_)\ _$_ ;_ * \(#,##0.00\)\ _$_ ;_ * &quot;-&quot;??_)\ _$_ ;_ @_ "/>
    <numFmt numFmtId="205" formatCode="_ * #,##0_)\ &quot;$&quot;_ ;_ * \(#,##0\)\ &quot;$&quot;_ ;_ * &quot;-&quot;_)\ &quot;$&quot;_ ;_ @_ "/>
    <numFmt numFmtId="206" formatCode="_ * #,##0.00_)\ &quot;$&quot;_ ;_ * \(#,##0.00\)\ &quot;$&quot;_ ;_ * &quot;-&quot;??_)\ &quot;$&quot;_ ;_ @_ "/>
    <numFmt numFmtId="207" formatCode="&quot;Note&quot;\ #"/>
    <numFmt numFmtId="208" formatCode="&quot;See Note &quot;\ #"/>
    <numFmt numFmtId="209" formatCode="\$\ #,##0"/>
    <numFmt numFmtId="210" formatCode="&quot;L.&quot;\ #,##0;[Red]\-&quot;L.&quot;\ #,##0"/>
    <numFmt numFmtId="211" formatCode="_-&quot;£&quot;* #,##0_-;\-&quot;£&quot;* #,##0_-;_-&quot;£&quot;* &quot;-&quot;_-;_-@_-"/>
    <numFmt numFmtId="212" formatCode="_-&quot;£&quot;* #,##0.00_-;\-&quot;£&quot;* #,##0.00_-;_-&quot;£&quot;* &quot;-&quot;??_-;_-@_-"/>
    <numFmt numFmtId="213" formatCode="#,##0;\(#,##0\)"/>
    <numFmt numFmtId="214" formatCode="#,##0.0;\(#,##0.0\);0"/>
    <numFmt numFmtId="215" formatCode="#,##0.0,;\(#,##0.0\);\-"/>
  </numFmts>
  <fonts count="220">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sz val="10"/>
      <color theme="1"/>
      <name val="Calibri"/>
      <family val="2"/>
      <charset val="238"/>
      <scheme val="minor"/>
    </font>
    <font>
      <sz val="10"/>
      <color theme="1"/>
      <name val="Czcionka tekstu podstawowego"/>
      <family val="2"/>
      <charset val="238"/>
    </font>
    <font>
      <vertAlign val="superscript"/>
      <sz val="11"/>
      <color theme="1"/>
      <name val="Calibri"/>
      <family val="2"/>
      <charset val="238"/>
      <scheme val="minor"/>
    </font>
    <font>
      <sz val="9"/>
      <color theme="1"/>
      <name val="Calibri"/>
      <family val="2"/>
      <charset val="238"/>
      <scheme val="minor"/>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b/>
      <sz val="11"/>
      <color indexed="8"/>
      <name val="Calibri"/>
      <family val="2"/>
      <charset val="238"/>
      <scheme val="minor"/>
    </font>
    <font>
      <sz val="10"/>
      <color indexed="8"/>
      <name val="Calibri"/>
      <family val="2"/>
      <charset val="238"/>
      <scheme val="minor"/>
    </font>
    <font>
      <b/>
      <sz val="10"/>
      <color theme="9"/>
      <name val="Calibri"/>
      <family val="2"/>
      <charset val="238"/>
    </font>
    <font>
      <sz val="11"/>
      <color theme="1"/>
      <name val="Calibri"/>
      <family val="2"/>
      <charset val="238"/>
    </font>
    <font>
      <b/>
      <sz val="11"/>
      <color theme="1"/>
      <name val="Calibri"/>
      <family val="2"/>
      <charset val="238"/>
    </font>
    <font>
      <b/>
      <sz val="10"/>
      <color theme="1"/>
      <name val="Calibri"/>
      <family val="2"/>
      <charset val="238"/>
    </font>
    <font>
      <sz val="9"/>
      <name val="Calibri"/>
      <family val="2"/>
      <charset val="238"/>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i/>
      <sz val="11"/>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vertAlign val="superscript"/>
      <sz val="9"/>
      <name val="Calibri"/>
      <family val="2"/>
      <charset val="238"/>
    </font>
    <font>
      <sz val="10"/>
      <color theme="1"/>
      <name val="Calibri"/>
      <family val="2"/>
      <charset val="238"/>
    </font>
    <font>
      <vertAlign val="superscript"/>
      <sz val="10"/>
      <color theme="1"/>
      <name val="Calibri"/>
      <family val="2"/>
      <charset val="238"/>
    </font>
    <font>
      <sz val="10"/>
      <color rgb="FF000000"/>
      <name val="Arial Narrow"/>
      <family val="2"/>
      <charset val="238"/>
    </font>
    <font>
      <b/>
      <vertAlign val="superscript"/>
      <sz val="11"/>
      <color theme="0"/>
      <name val="Calibri"/>
      <family val="2"/>
      <charset val="238"/>
      <scheme val="minor"/>
    </font>
    <font>
      <b/>
      <sz val="11"/>
      <name val="Calibri"/>
      <family val="2"/>
      <charset val="238"/>
      <scheme val="minor"/>
    </font>
    <font>
      <sz val="9"/>
      <color theme="1"/>
      <name val="Czcionka tekstu podstawowego"/>
      <family val="2"/>
      <charset val="238"/>
    </font>
    <font>
      <sz val="11"/>
      <color rgb="FF000000"/>
      <name val="Calibri"/>
      <family val="2"/>
      <charset val="238"/>
      <scheme val="minor"/>
    </font>
    <font>
      <b/>
      <vertAlign val="superscript"/>
      <sz val="11"/>
      <color rgb="FF000000"/>
      <name val="Calibri"/>
      <family val="2"/>
      <charset val="238"/>
      <scheme val="minor"/>
    </font>
    <font>
      <b/>
      <sz val="12"/>
      <name val="Calibri"/>
      <family val="2"/>
      <charset val="238"/>
      <scheme val="minor"/>
    </font>
    <font>
      <b/>
      <vertAlign val="superscript"/>
      <sz val="11"/>
      <color theme="1"/>
      <name val="Calibri"/>
      <family val="2"/>
      <charset val="238"/>
      <scheme val="minor"/>
    </font>
    <font>
      <b/>
      <sz val="11"/>
      <color theme="0" tint="-0.34998626667073579"/>
      <name val="Calibri"/>
      <family val="2"/>
      <charset val="238"/>
      <scheme val="minor"/>
    </font>
    <font>
      <b/>
      <sz val="11"/>
      <color indexed="8"/>
      <name val="Calibri"/>
      <family val="2"/>
      <charset val="238"/>
    </font>
    <font>
      <vertAlign val="superscript"/>
      <sz val="9"/>
      <color theme="1"/>
      <name val="Calibri"/>
      <family val="2"/>
      <charset val="238"/>
      <scheme val="minor"/>
    </font>
    <font>
      <b/>
      <vertAlign val="superscript"/>
      <sz val="11"/>
      <name val="Calibri"/>
      <family val="2"/>
      <charset val="238"/>
      <scheme val="minor"/>
    </font>
    <font>
      <sz val="11"/>
      <name val="Czcionka tekstu podstawowego"/>
      <family val="2"/>
      <charset val="238"/>
    </font>
    <font>
      <i/>
      <sz val="10"/>
      <color theme="1"/>
      <name val="Calibri"/>
      <family val="2"/>
      <charset val="238"/>
    </font>
    <font>
      <b/>
      <sz val="11"/>
      <color theme="0"/>
      <name val="Calibri"/>
      <family val="2"/>
      <charset val="238"/>
    </font>
    <font>
      <b/>
      <sz val="10"/>
      <color theme="0"/>
      <name val="Calibri"/>
      <family val="2"/>
      <charset val="238"/>
    </font>
    <font>
      <b/>
      <vertAlign val="superscript"/>
      <sz val="10"/>
      <color theme="0"/>
      <name val="Calibri"/>
      <family val="2"/>
      <charset val="238"/>
    </font>
    <font>
      <b/>
      <sz val="10"/>
      <color theme="0"/>
      <name val="Calibri"/>
      <family val="2"/>
      <charset val="238"/>
      <scheme val="minor"/>
    </font>
    <font>
      <b/>
      <vertAlign val="superscript"/>
      <sz val="11"/>
      <color theme="0"/>
      <name val="Calibri"/>
      <family val="2"/>
      <charset val="238"/>
    </font>
    <font>
      <sz val="9"/>
      <color theme="1"/>
      <name val="Calibri"/>
      <family val="2"/>
      <charset val="238"/>
    </font>
    <font>
      <i/>
      <sz val="10"/>
      <color theme="0"/>
      <name val="Calibri"/>
      <family val="2"/>
      <charset val="238"/>
      <scheme val="minor"/>
    </font>
    <font>
      <sz val="10"/>
      <color theme="0"/>
      <name val="Calibri"/>
      <family val="2"/>
      <charset val="238"/>
      <scheme val="minor"/>
    </font>
    <font>
      <b/>
      <i/>
      <sz val="10"/>
      <color theme="0"/>
      <name val="Calibri"/>
      <family val="2"/>
      <charset val="238"/>
      <scheme val="minor"/>
    </font>
    <font>
      <b/>
      <vertAlign val="superscript"/>
      <sz val="10"/>
      <color theme="0"/>
      <name val="Calibri"/>
      <family val="2"/>
      <charset val="238"/>
      <scheme val="minor"/>
    </font>
    <font>
      <b/>
      <sz val="12"/>
      <color theme="0"/>
      <name val="Calibri"/>
      <family val="2"/>
      <charset val="238"/>
      <scheme val="minor"/>
    </font>
    <font>
      <sz val="12"/>
      <color indexed="8"/>
      <name val="Calibri"/>
      <family val="2"/>
      <charset val="238"/>
    </font>
    <font>
      <b/>
      <sz val="12"/>
      <color indexed="8"/>
      <name val="Calibri"/>
      <family val="2"/>
      <charset val="238"/>
    </font>
    <font>
      <b/>
      <sz val="10"/>
      <name val="Calibri"/>
      <family val="2"/>
      <charset val="238"/>
      <scheme val="minor"/>
    </font>
    <font>
      <b/>
      <vertAlign val="superscript"/>
      <sz val="10"/>
      <name val="Calibri"/>
      <family val="2"/>
      <charset val="238"/>
      <scheme val="minor"/>
    </font>
    <font>
      <sz val="9"/>
      <color rgb="FF2E83BF"/>
      <name val="Calibri"/>
      <family val="2"/>
      <charset val="238"/>
      <scheme val="minor"/>
    </font>
    <font>
      <sz val="9"/>
      <color rgb="FF2E83BF"/>
      <name val="Calibri"/>
      <family val="2"/>
      <charset val="238"/>
    </font>
    <font>
      <b/>
      <sz val="9"/>
      <color theme="1"/>
      <name val="Calibri"/>
      <family val="2"/>
      <charset val="238"/>
    </font>
    <font>
      <i/>
      <sz val="9"/>
      <color theme="1"/>
      <name val="Calibri"/>
      <family val="2"/>
      <charset val="238"/>
    </font>
    <font>
      <sz val="10"/>
      <color theme="0"/>
      <name val="Calibri"/>
      <family val="2"/>
      <charset val="238"/>
    </font>
    <font>
      <b/>
      <sz val="12"/>
      <color rgb="FF2E83BF"/>
      <name val="Calibri"/>
      <family val="2"/>
      <charset val="238"/>
      <scheme val="minor"/>
    </font>
    <font>
      <sz val="11"/>
      <color theme="0" tint="-0.34998626667073579"/>
      <name val="Calibri"/>
      <family val="2"/>
      <charset val="238"/>
    </font>
    <font>
      <b/>
      <sz val="11"/>
      <color theme="0" tint="-0.34998626667073579"/>
      <name val="Calibri"/>
      <family val="2"/>
      <charset val="238"/>
    </font>
    <font>
      <b/>
      <sz val="12"/>
      <color theme="0"/>
      <name val="Calibri"/>
      <family val="2"/>
      <charset val="238"/>
    </font>
    <font>
      <b/>
      <sz val="12"/>
      <color theme="9"/>
      <name val="Calibri"/>
      <family val="2"/>
      <charset val="238"/>
    </font>
    <font>
      <i/>
      <sz val="10"/>
      <color theme="0"/>
      <name val="Calibri"/>
      <family val="2"/>
      <charset val="238"/>
    </font>
    <font>
      <i/>
      <vertAlign val="superscript"/>
      <sz val="10"/>
      <color theme="0"/>
      <name val="Calibri"/>
      <family val="2"/>
      <charset val="238"/>
    </font>
    <font>
      <vertAlign val="superscript"/>
      <sz val="9"/>
      <color indexed="8"/>
      <name val="Calibri"/>
      <family val="2"/>
      <charset val="238"/>
    </font>
    <font>
      <i/>
      <sz val="9"/>
      <color indexed="8"/>
      <name val="Calibri"/>
      <family val="2"/>
      <charset val="238"/>
    </font>
    <font>
      <i/>
      <vertAlign val="superscript"/>
      <sz val="9"/>
      <color indexed="8"/>
      <name val="Calibri"/>
      <family val="2"/>
      <charset val="238"/>
    </font>
  </fonts>
  <fills count="85">
    <fill>
      <patternFill patternType="none"/>
    </fill>
    <fill>
      <patternFill patternType="gray125"/>
    </fill>
    <fill>
      <patternFill patternType="solid">
        <fgColor theme="0"/>
        <bgColor indexed="64"/>
      </patternFill>
    </fill>
    <fill>
      <patternFill patternType="mediumGray">
        <fgColor theme="0" tint="-0.14996795556505021"/>
        <bgColor theme="0" tint="-4.9989318521683403E-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
      <patternFill patternType="solid">
        <fgColor rgb="FF2E83BF"/>
        <bgColor indexed="64"/>
      </patternFill>
    </fill>
    <fill>
      <patternFill patternType="mediumGray">
        <fgColor theme="0" tint="-0.14996795556505021"/>
        <bgColor rgb="FF2E83BF"/>
      </patternFill>
    </fill>
    <fill>
      <patternFill patternType="mediumGray">
        <fgColor rgb="FF03ACE5"/>
      </patternFill>
    </fill>
    <fill>
      <patternFill patternType="solid">
        <fgColor indexed="65"/>
        <bgColor rgb="FF03ACE5"/>
      </patternFill>
    </fill>
    <fill>
      <patternFill patternType="lightGray">
        <fgColor rgb="FF03ACE5"/>
        <bgColor rgb="FF2E83BF"/>
      </patternFill>
    </fill>
    <fill>
      <patternFill patternType="lightGray">
        <fgColor rgb="FF03ACE5"/>
      </patternFill>
    </fill>
    <fill>
      <patternFill patternType="solid">
        <fgColor rgb="FF1082BF"/>
        <bgColor indexed="64"/>
      </patternFill>
    </fill>
    <fill>
      <patternFill patternType="lightGray">
        <fgColor rgb="FF03ACE5"/>
        <bgColor rgb="FF1082BF"/>
      </patternFill>
    </fill>
    <fill>
      <patternFill patternType="mediumGray">
        <fgColor rgb="FF03ACE5"/>
        <bgColor rgb="FF03ACE5"/>
      </patternFill>
    </fill>
    <fill>
      <patternFill patternType="lightGray">
        <fgColor theme="0" tint="-0.14996795556505021"/>
        <bgColor rgb="FF03ACE5"/>
      </patternFill>
    </fill>
  </fills>
  <borders count="96">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auto="1"/>
      </bottom>
      <diagonal/>
    </border>
    <border>
      <left/>
      <right/>
      <top/>
      <bottom style="medium">
        <color indexed="64"/>
      </bottom>
      <diagonal/>
    </border>
    <border>
      <left style="medium">
        <color indexed="64"/>
      </left>
      <right style="medium">
        <color indexed="64"/>
      </right>
      <top style="medium">
        <color rgb="FF2E83BF"/>
      </top>
      <bottom style="medium">
        <color rgb="FF2E83BF"/>
      </bottom>
      <diagonal/>
    </border>
    <border>
      <left style="medium">
        <color indexed="64"/>
      </left>
      <right/>
      <top style="medium">
        <color rgb="FF2E83BF"/>
      </top>
      <bottom style="medium">
        <color rgb="FF2E83BF"/>
      </bottom>
      <diagonal/>
    </border>
    <border>
      <left/>
      <right/>
      <top style="medium">
        <color rgb="FF2E83BF"/>
      </top>
      <bottom style="medium">
        <color rgb="FF2E83BF"/>
      </bottom>
      <diagonal/>
    </border>
    <border>
      <left/>
      <right style="medium">
        <color indexed="64"/>
      </right>
      <top style="medium">
        <color rgb="FF2E83BF"/>
      </top>
      <bottom style="medium">
        <color rgb="FF2E83BF"/>
      </bottom>
      <diagonal/>
    </border>
    <border>
      <left style="medium">
        <color indexed="64"/>
      </left>
      <right/>
      <top style="medium">
        <color rgb="FF2E83BF"/>
      </top>
      <bottom/>
      <diagonal/>
    </border>
    <border>
      <left/>
      <right/>
      <top style="medium">
        <color rgb="FF2E83BF"/>
      </top>
      <bottom/>
      <diagonal/>
    </border>
    <border>
      <left/>
      <right style="medium">
        <color indexed="64"/>
      </right>
      <top style="medium">
        <color rgb="FF2E83BF"/>
      </top>
      <bottom/>
      <diagonal/>
    </border>
    <border>
      <left style="medium">
        <color indexed="64"/>
      </left>
      <right/>
      <top style="medium">
        <color rgb="FF1082BF"/>
      </top>
      <bottom style="medium">
        <color rgb="FF2E83BF"/>
      </bottom>
      <diagonal/>
    </border>
    <border>
      <left/>
      <right/>
      <top style="medium">
        <color rgb="FF1082BF"/>
      </top>
      <bottom style="medium">
        <color rgb="FF2E83BF"/>
      </bottom>
      <diagonal/>
    </border>
    <border>
      <left/>
      <right style="medium">
        <color indexed="64"/>
      </right>
      <top style="medium">
        <color rgb="FF1082BF"/>
      </top>
      <bottom style="medium">
        <color rgb="FF2E83BF"/>
      </bottom>
      <diagonal/>
    </border>
    <border>
      <left style="medium">
        <color indexed="64"/>
      </left>
      <right style="medium">
        <color indexed="64"/>
      </right>
      <top style="medium">
        <color rgb="FF03ACE5"/>
      </top>
      <bottom style="medium">
        <color rgb="FF03ACE5"/>
      </bottom>
      <diagonal/>
    </border>
    <border>
      <left style="medium">
        <color indexed="64"/>
      </left>
      <right/>
      <top style="medium">
        <color rgb="FF03ACE5"/>
      </top>
      <bottom style="medium">
        <color rgb="FF03ACE5"/>
      </bottom>
      <diagonal/>
    </border>
    <border>
      <left/>
      <right/>
      <top style="medium">
        <color rgb="FF03ACE5"/>
      </top>
      <bottom style="medium">
        <color rgb="FF03ACE5"/>
      </bottom>
      <diagonal/>
    </border>
    <border>
      <left/>
      <right style="medium">
        <color indexed="64"/>
      </right>
      <top style="medium">
        <color rgb="FF03ACE5"/>
      </top>
      <bottom style="medium">
        <color rgb="FF03ACE5"/>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medium">
        <color indexed="64"/>
      </left>
      <right style="medium">
        <color indexed="64"/>
      </right>
      <top/>
      <bottom style="medium">
        <color rgb="FF03ACE5"/>
      </bottom>
      <diagonal/>
    </border>
    <border>
      <left/>
      <right/>
      <top/>
      <bottom style="medium">
        <color rgb="FF03ACE5"/>
      </bottom>
      <diagonal/>
    </border>
    <border>
      <left/>
      <right style="medium">
        <color indexed="64"/>
      </right>
      <top/>
      <bottom style="medium">
        <color rgb="FF03ACE5"/>
      </bottom>
      <diagonal/>
    </border>
    <border>
      <left style="medium">
        <color indexed="64"/>
      </left>
      <right/>
      <top/>
      <bottom style="thin">
        <color rgb="FF03ACE5"/>
      </bottom>
      <diagonal/>
    </border>
    <border>
      <left style="medium">
        <color indexed="64"/>
      </left>
      <right style="medium">
        <color indexed="64"/>
      </right>
      <top/>
      <bottom style="thin">
        <color rgb="FF03ACE5"/>
      </bottom>
      <diagonal/>
    </border>
    <border>
      <left/>
      <right/>
      <top/>
      <bottom style="thin">
        <color rgb="FF03ACE5"/>
      </bottom>
      <diagonal/>
    </border>
    <border>
      <left/>
      <right style="medium">
        <color indexed="64"/>
      </right>
      <top/>
      <bottom style="thin">
        <color rgb="FF03ACE5"/>
      </bottom>
      <diagonal/>
    </border>
    <border>
      <left style="medium">
        <color indexed="64"/>
      </left>
      <right/>
      <top/>
      <bottom style="thin">
        <color theme="0"/>
      </bottom>
      <diagonal/>
    </border>
    <border>
      <left style="medium">
        <color indexed="64"/>
      </left>
      <right style="medium">
        <color indexed="64"/>
      </right>
      <top/>
      <bottom style="thin">
        <color theme="0"/>
      </bottom>
      <diagonal/>
    </border>
    <border>
      <left/>
      <right style="medium">
        <color indexed="64"/>
      </right>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medium">
        <color indexed="64"/>
      </right>
      <top style="thin">
        <color theme="0"/>
      </top>
      <bottom/>
      <diagonal/>
    </border>
    <border>
      <left/>
      <right style="medium">
        <color indexed="64"/>
      </right>
      <top style="thin">
        <color theme="0"/>
      </top>
      <bottom/>
      <diagonal/>
    </border>
    <border>
      <left/>
      <right/>
      <top style="thin">
        <color rgb="FF2E83BF"/>
      </top>
      <bottom/>
      <diagonal/>
    </border>
    <border>
      <left/>
      <right/>
      <top style="thin">
        <color rgb="FF2E83BF"/>
      </top>
      <bottom style="thin">
        <color theme="0"/>
      </bottom>
      <diagonal/>
    </border>
    <border>
      <left/>
      <right/>
      <top style="thin">
        <color theme="0"/>
      </top>
      <bottom style="thin">
        <color rgb="FF2E83BF"/>
      </bottom>
      <diagonal/>
    </border>
    <border>
      <left/>
      <right/>
      <top/>
      <bottom style="thin">
        <color rgb="FF2E83BF"/>
      </bottom>
      <diagonal/>
    </border>
    <border>
      <left style="medium">
        <color indexed="64"/>
      </left>
      <right/>
      <top style="thin">
        <color theme="0"/>
      </top>
      <bottom/>
      <diagonal/>
    </border>
    <border>
      <left/>
      <right/>
      <top/>
      <bottom style="thin">
        <color rgb="FF1082BF"/>
      </bottom>
      <diagonal/>
    </border>
    <border>
      <left style="medium">
        <color indexed="64"/>
      </left>
      <right style="medium">
        <color indexed="64"/>
      </right>
      <top style="thin">
        <color theme="0"/>
      </top>
      <bottom style="thin">
        <color theme="0"/>
      </bottom>
      <diagonal/>
    </border>
    <border>
      <left style="thin">
        <color theme="0"/>
      </left>
      <right/>
      <top style="thin">
        <color theme="0"/>
      </top>
      <bottom style="thin">
        <color theme="0"/>
      </bottom>
      <diagonal/>
    </border>
  </borders>
  <cellStyleXfs count="42855">
    <xf numFmtId="0" fontId="0" fillId="0" borderId="0"/>
    <xf numFmtId="166" fontId="7" fillId="0" borderId="0" applyFont="0" applyFill="0" applyBorder="0" applyAlignment="0" applyProtection="0"/>
    <xf numFmtId="9" fontId="5" fillId="0" borderId="0" applyFont="0" applyFill="0" applyBorder="0" applyAlignment="0" applyProtection="0"/>
    <xf numFmtId="178" fontId="11" fillId="0" borderId="0"/>
    <xf numFmtId="178" fontId="11" fillId="0" borderId="0"/>
    <xf numFmtId="178" fontId="11" fillId="0" borderId="0"/>
    <xf numFmtId="9" fontId="11" fillId="0" borderId="0" applyFont="0" applyFill="0" applyBorder="0" applyAlignment="0" applyProtection="0"/>
    <xf numFmtId="9" fontId="11" fillId="0" borderId="0" applyFont="0" applyFill="0" applyBorder="0" applyAlignment="0" applyProtection="0"/>
    <xf numFmtId="166" fontId="5" fillId="0" borderId="0" applyFont="0" applyFill="0" applyBorder="0" applyAlignment="0" applyProtection="0"/>
    <xf numFmtId="0" fontId="63" fillId="0" borderId="0"/>
    <xf numFmtId="164" fontId="63" fillId="0" borderId="0" applyFont="0" applyFill="0" applyBorder="0" applyAlignment="0" applyProtection="0"/>
    <xf numFmtId="187" fontId="11" fillId="0" borderId="0"/>
    <xf numFmtId="0" fontId="64" fillId="0" borderId="0"/>
    <xf numFmtId="0" fontId="64" fillId="0" borderId="0"/>
    <xf numFmtId="0" fontId="64" fillId="0" borderId="0"/>
    <xf numFmtId="187" fontId="11" fillId="0" borderId="0"/>
    <xf numFmtId="0" fontId="4" fillId="0" borderId="0"/>
    <xf numFmtId="164" fontId="4" fillId="0" borderId="0" applyFont="0" applyFill="0" applyBorder="0" applyAlignment="0" applyProtection="0"/>
    <xf numFmtId="0" fontId="66" fillId="0" borderId="0"/>
    <xf numFmtId="0" fontId="4" fillId="0" borderId="0"/>
    <xf numFmtId="0" fontId="11" fillId="0" borderId="0"/>
    <xf numFmtId="0" fontId="67" fillId="0" borderId="0"/>
    <xf numFmtId="0" fontId="68" fillId="0" borderId="0"/>
    <xf numFmtId="168" fontId="69" fillId="0" borderId="0"/>
    <xf numFmtId="189" fontId="70" fillId="0" borderId="0" applyFont="0" applyFill="0" applyBorder="0" applyAlignment="0" applyProtection="0"/>
    <xf numFmtId="0" fontId="71" fillId="0" borderId="0">
      <alignment vertical="center"/>
    </xf>
    <xf numFmtId="1" fontId="69" fillId="0" borderId="0"/>
    <xf numFmtId="167" fontId="72" fillId="0" borderId="0"/>
    <xf numFmtId="2" fontId="69" fillId="0" borderId="0"/>
    <xf numFmtId="1" fontId="72" fillId="0" borderId="0"/>
    <xf numFmtId="1" fontId="73" fillId="0" borderId="0"/>
    <xf numFmtId="1" fontId="73" fillId="0" borderId="0"/>
    <xf numFmtId="1" fontId="73" fillId="0" borderId="0"/>
    <xf numFmtId="1" fontId="73" fillId="0" borderId="0"/>
    <xf numFmtId="190" fontId="74" fillId="0" borderId="0" applyFont="0" applyFill="0" applyBorder="0" applyAlignment="0" applyProtection="0"/>
    <xf numFmtId="38" fontId="75" fillId="0" borderId="0" applyFont="0" applyFill="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187" fontId="77" fillId="4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187"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187"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187" fontId="77" fillId="42"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187"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187"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187" fontId="77"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187"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187"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187" fontId="77"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187"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87"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187" fontId="77"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187"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87"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187" fontId="77"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187"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87"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187"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187"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87"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187" fontId="77"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187"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87"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187" fontId="77"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187"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87"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187" fontId="77"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187"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87"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77"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7"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7"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62" fillId="14"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8" fillId="14"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187"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4"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4" borderId="0" applyNumberFormat="0" applyBorder="0" applyAlignment="0" applyProtection="0"/>
    <xf numFmtId="0" fontId="5" fillId="49" borderId="0" applyNumberFormat="0" applyBorder="0" applyAlignment="0" applyProtection="0"/>
    <xf numFmtId="0" fontId="62"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187"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62" fillId="18"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8" fillId="18"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187"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8" fillId="18" borderId="0" applyNumberFormat="0" applyBorder="0" applyAlignment="0" applyProtection="0"/>
    <xf numFmtId="0" fontId="5" fillId="45" borderId="0" applyNumberFormat="0" applyBorder="0" applyAlignment="0" applyProtection="0"/>
    <xf numFmtId="187"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8" fillId="18" borderId="0" applyNumberFormat="0" applyBorder="0" applyAlignment="0" applyProtection="0"/>
    <xf numFmtId="0" fontId="5" fillId="45" borderId="0" applyNumberFormat="0" applyBorder="0" applyAlignment="0" applyProtection="0"/>
    <xf numFmtId="0" fontId="62"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187"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62" fillId="22"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8" fillId="22"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187"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8" fillId="22" borderId="0" applyNumberFormat="0" applyBorder="0" applyAlignment="0" applyProtection="0"/>
    <xf numFmtId="0" fontId="5" fillId="46" borderId="0" applyNumberFormat="0" applyBorder="0" applyAlignment="0" applyProtection="0"/>
    <xf numFmtId="187"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8" fillId="22" borderId="0" applyNumberFormat="0" applyBorder="0" applyAlignment="0" applyProtection="0"/>
    <xf numFmtId="0" fontId="5" fillId="46" borderId="0" applyNumberFormat="0" applyBorder="0" applyAlignment="0" applyProtection="0"/>
    <xf numFmtId="0" fontId="62"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187"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62" fillId="2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2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187"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8" fillId="26" borderId="0" applyNumberFormat="0" applyBorder="0" applyAlignment="0" applyProtection="0"/>
    <xf numFmtId="0" fontId="5" fillId="43" borderId="0" applyNumberFormat="0" applyBorder="0" applyAlignment="0" applyProtection="0"/>
    <xf numFmtId="187"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8" fillId="26" borderId="0" applyNumberFormat="0" applyBorder="0" applyAlignment="0" applyProtection="0"/>
    <xf numFmtId="0" fontId="5" fillId="43" borderId="0" applyNumberFormat="0" applyBorder="0" applyAlignment="0" applyProtection="0"/>
    <xf numFmtId="0" fontId="62"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62" fillId="30"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8" fillId="30"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30"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30" borderId="0" applyNumberFormat="0" applyBorder="0" applyAlignment="0" applyProtection="0"/>
    <xf numFmtId="0" fontId="5" fillId="49" borderId="0" applyNumberFormat="0" applyBorder="0" applyAlignment="0" applyProtection="0"/>
    <xf numFmtId="0" fontId="62"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187"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62" fillId="34"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8" fillId="34"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187"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8" fillId="34" borderId="0" applyNumberFormat="0" applyBorder="0" applyAlignment="0" applyProtection="0"/>
    <xf numFmtId="0" fontId="5" fillId="41" borderId="0" applyNumberFormat="0" applyBorder="0" applyAlignment="0" applyProtection="0"/>
    <xf numFmtId="187"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8" fillId="34" borderId="0" applyNumberFormat="0" applyBorder="0" applyAlignment="0" applyProtection="0"/>
    <xf numFmtId="0" fontId="5" fillId="41" borderId="0" applyNumberFormat="0" applyBorder="0" applyAlignment="0" applyProtection="0"/>
    <xf numFmtId="0" fontId="62"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9" fillId="53" borderId="0">
      <alignment horizontal="left" vertical="top"/>
    </xf>
    <xf numFmtId="191" fontId="75" fillId="0" borderId="0" applyFont="0" applyFill="0" applyBorder="0" applyAlignment="0" applyProtection="0"/>
    <xf numFmtId="187"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62" fillId="11"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8" fillId="11"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187"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1"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1" borderId="0" applyNumberFormat="0" applyBorder="0" applyAlignment="0" applyProtection="0"/>
    <xf numFmtId="0" fontId="5" fillId="49" borderId="0" applyNumberFormat="0" applyBorder="0" applyAlignment="0" applyProtection="0"/>
    <xf numFmtId="0" fontId="62"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187"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62" fillId="1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8" fillId="1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187"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8" fillId="15" borderId="0" applyNumberFormat="0" applyBorder="0" applyAlignment="0" applyProtection="0"/>
    <xf numFmtId="0" fontId="5" fillId="47" borderId="0" applyNumberFormat="0" applyBorder="0" applyAlignment="0" applyProtection="0"/>
    <xf numFmtId="187"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8" fillId="15" borderId="0" applyNumberFormat="0" applyBorder="0" applyAlignment="0" applyProtection="0"/>
    <xf numFmtId="0" fontId="5" fillId="47" borderId="0" applyNumberFormat="0" applyBorder="0" applyAlignment="0" applyProtection="0"/>
    <xf numFmtId="0" fontId="62"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187"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62" fillId="19"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8" fillId="19"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187"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8" fillId="19" borderId="0" applyNumberFormat="0" applyBorder="0" applyAlignment="0" applyProtection="0"/>
    <xf numFmtId="0" fontId="5" fillId="55" borderId="0" applyNumberFormat="0" applyBorder="0" applyAlignment="0" applyProtection="0"/>
    <xf numFmtId="187"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8" fillId="19" borderId="0" applyNumberFormat="0" applyBorder="0" applyAlignment="0" applyProtection="0"/>
    <xf numFmtId="0" fontId="5" fillId="55" borderId="0" applyNumberFormat="0" applyBorder="0" applyAlignment="0" applyProtection="0"/>
    <xf numFmtId="0" fontId="62"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187"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62" fillId="2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2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187"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8" fillId="23" borderId="0" applyNumberFormat="0" applyBorder="0" applyAlignment="0" applyProtection="0"/>
    <xf numFmtId="0" fontId="5" fillId="56" borderId="0" applyNumberFormat="0" applyBorder="0" applyAlignment="0" applyProtection="0"/>
    <xf numFmtId="187"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8" fillId="23" borderId="0" applyNumberFormat="0" applyBorder="0" applyAlignment="0" applyProtection="0"/>
    <xf numFmtId="0" fontId="5" fillId="56" borderId="0" applyNumberFormat="0" applyBorder="0" applyAlignment="0" applyProtection="0"/>
    <xf numFmtId="0" fontId="62"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62"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8"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27"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27" borderId="0" applyNumberFormat="0" applyBorder="0" applyAlignment="0" applyProtection="0"/>
    <xf numFmtId="0" fontId="5" fillId="49" borderId="0" applyNumberFormat="0" applyBorder="0" applyAlignment="0" applyProtection="0"/>
    <xf numFmtId="0" fontId="62"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187"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62" fillId="31"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8" fillId="31"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187"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8" fillId="31" borderId="0" applyNumberFormat="0" applyBorder="0" applyAlignment="0" applyProtection="0"/>
    <xf numFmtId="0" fontId="5" fillId="57" borderId="0" applyNumberFormat="0" applyBorder="0" applyAlignment="0" applyProtection="0"/>
    <xf numFmtId="187"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8" fillId="31" borderId="0" applyNumberFormat="0" applyBorder="0" applyAlignment="0" applyProtection="0"/>
    <xf numFmtId="0" fontId="5" fillId="57" borderId="0" applyNumberFormat="0" applyBorder="0" applyAlignment="0" applyProtection="0"/>
    <xf numFmtId="0" fontId="62"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192" fontId="66" fillId="0" borderId="0" applyFill="0" applyBorder="0" applyAlignment="0"/>
    <xf numFmtId="164" fontId="66" fillId="0" borderId="0" applyFont="0" applyFill="0" applyBorder="0" applyAlignment="0" applyProtection="0"/>
    <xf numFmtId="187"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5" fillId="7" borderId="24"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1" fillId="7" borderId="2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187"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1" fillId="7" borderId="24" applyNumberFormat="0" applyAlignment="0" applyProtection="0"/>
    <xf numFmtId="0" fontId="5" fillId="0" borderId="0" applyNumberFormat="0" applyFont="0" applyFill="0" applyBorder="0" applyAlignment="0" applyProtection="0"/>
    <xf numFmtId="187"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1" fillId="7" borderId="24" applyNumberFormat="0" applyAlignment="0" applyProtection="0"/>
    <xf numFmtId="0" fontId="5" fillId="0" borderId="0" applyNumberFormat="0" applyFont="0" applyFill="0" applyBorder="0" applyAlignment="0" applyProtection="0"/>
    <xf numFmtId="0" fontId="55" fillId="7" borderId="24" applyNumberFormat="0" applyAlignment="0" applyProtection="0"/>
    <xf numFmtId="0" fontId="81" fillId="7" borderId="24" applyNumberFormat="0" applyAlignment="0" applyProtection="0"/>
    <xf numFmtId="0" fontId="81" fillId="7" borderId="24" applyNumberFormat="0" applyAlignment="0" applyProtection="0"/>
    <xf numFmtId="0" fontId="81" fillId="7" borderId="24" applyNumberFormat="0" applyAlignment="0" applyProtection="0"/>
    <xf numFmtId="187" fontId="82" fillId="40"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6" fillId="8" borderId="25"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40"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40"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3" fillId="8" borderId="25" applyNumberFormat="0" applyAlignment="0" applyProtection="0"/>
    <xf numFmtId="0" fontId="84" fillId="0" borderId="2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187" fontId="82" fillId="40"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40" borderId="31" applyNumberFormat="0" applyAlignment="0" applyProtection="0"/>
    <xf numFmtId="0" fontId="82" fillId="40" borderId="31" applyNumberFormat="0" applyAlignment="0" applyProtection="0"/>
    <xf numFmtId="0" fontId="83" fillId="8" borderId="25" applyNumberFormat="0" applyAlignment="0" applyProtection="0"/>
    <xf numFmtId="0" fontId="5" fillId="0" borderId="0" applyNumberFormat="0" applyFont="0" applyFill="0" applyBorder="0" applyAlignment="0" applyProtection="0"/>
    <xf numFmtId="187" fontId="82" fillId="40"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40" borderId="31" applyNumberFormat="0" applyAlignment="0" applyProtection="0"/>
    <xf numFmtId="0" fontId="82" fillId="40" borderId="31" applyNumberFormat="0" applyAlignment="0" applyProtection="0"/>
    <xf numFmtId="0" fontId="83" fillId="8" borderId="25" applyNumberFormat="0" applyAlignment="0" applyProtection="0"/>
    <xf numFmtId="0" fontId="5" fillId="0" borderId="0" applyNumberFormat="0" applyFont="0" applyFill="0" applyBorder="0" applyAlignment="0" applyProtection="0"/>
    <xf numFmtId="0" fontId="56" fillId="8" borderId="25" applyNumberFormat="0" applyAlignment="0" applyProtection="0"/>
    <xf numFmtId="0" fontId="83" fillId="8" borderId="25" applyNumberFormat="0" applyAlignment="0" applyProtection="0"/>
    <xf numFmtId="0" fontId="84" fillId="0" borderId="25" applyNumberFormat="0" applyFill="0" applyAlignment="0" applyProtection="0"/>
    <xf numFmtId="0" fontId="84" fillId="0" borderId="25" applyNumberFormat="0" applyFill="0" applyAlignment="0" applyProtection="0"/>
    <xf numFmtId="0" fontId="83" fillId="8" borderId="25" applyNumberFormat="0" applyAlignment="0" applyProtection="0"/>
    <xf numFmtId="0" fontId="84" fillId="0" borderId="25" applyNumberFormat="0" applyFill="0" applyAlignment="0" applyProtection="0"/>
    <xf numFmtId="187"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2" fillId="4"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187"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6" fillId="4" borderId="0" applyNumberFormat="0" applyBorder="0" applyAlignment="0" applyProtection="0"/>
    <xf numFmtId="0" fontId="5" fillId="0" borderId="0" applyNumberFormat="0" applyFont="0" applyFill="0" applyBorder="0" applyAlignment="0" applyProtection="0"/>
    <xf numFmtId="187"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6" fillId="4" borderId="0" applyNumberFormat="0" applyBorder="0" applyAlignment="0" applyProtection="0"/>
    <xf numFmtId="0" fontId="5" fillId="0" borderId="0" applyNumberFormat="0" applyFont="0" applyFill="0" applyBorder="0" applyAlignment="0" applyProtection="0"/>
    <xf numFmtId="0" fontId="52" fillId="4" borderId="0" applyNumberFormat="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193" fontId="87" fillId="0" borderId="0">
      <alignment horizontal="center"/>
    </xf>
    <xf numFmtId="194" fontId="70" fillId="0" borderId="0" applyFont="0" applyFill="0" applyBorder="0" applyAlignment="0" applyProtection="0"/>
    <xf numFmtId="195" fontId="7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88"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88"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70" fillId="0" borderId="0" applyFont="0" applyFill="0" applyBorder="0" applyAlignment="0" applyProtection="0"/>
    <xf numFmtId="164" fontId="70" fillId="0" borderId="0" applyFont="0" applyFill="0" applyBorder="0" applyAlignment="0" applyProtection="0"/>
    <xf numFmtId="166" fontId="70" fillId="0" borderId="0" applyFont="0" applyFill="0" applyBorder="0" applyAlignment="0" applyProtection="0"/>
    <xf numFmtId="164" fontId="6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42"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166" fontId="70" fillId="0" borderId="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90" fillId="0" borderId="0" applyFont="0" applyFill="0" applyBorder="0" applyAlignment="0" applyProtection="0"/>
    <xf numFmtId="0" fontId="91" fillId="0" borderId="0" applyNumberFormat="0" applyFill="0" applyBorder="0" applyAlignment="0" applyProtection="0"/>
    <xf numFmtId="187" fontId="70" fillId="0" borderId="0" applyFont="0" applyFill="0" applyBorder="0" applyAlignment="0" applyProtection="0"/>
    <xf numFmtId="178" fontId="66" fillId="0" borderId="0" applyFont="0" applyFill="0" applyBorder="0" applyAlignment="0" applyProtection="0"/>
    <xf numFmtId="178" fontId="70" fillId="0" borderId="0" applyFont="0" applyFill="0" applyBorder="0" applyAlignment="0" applyProtection="0"/>
    <xf numFmtId="0" fontId="70" fillId="0" borderId="0" applyFont="0" applyFill="0" applyBorder="0" applyAlignment="0" applyProtection="0"/>
    <xf numFmtId="178" fontId="70"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0" borderId="0" applyNumberFormat="0" applyFill="0" applyBorder="0" applyProtection="0">
      <alignment vertical="top"/>
    </xf>
    <xf numFmtId="3" fontId="93" fillId="59" borderId="0" applyNumberFormat="0" applyFont="0" applyBorder="0" applyAlignment="0">
      <protection hidden="1"/>
    </xf>
    <xf numFmtId="0" fontId="89" fillId="0" borderId="1">
      <alignment horizontal="center"/>
    </xf>
    <xf numFmtId="38" fontId="94" fillId="60" borderId="0" applyNumberFormat="0" applyBorder="0" applyAlignment="0" applyProtection="0"/>
    <xf numFmtId="3" fontId="95" fillId="0" borderId="0"/>
    <xf numFmtId="0" fontId="96" fillId="0" borderId="7" applyNumberFormat="0" applyAlignment="0" applyProtection="0">
      <alignment horizontal="left" vertical="center"/>
    </xf>
    <xf numFmtId="0" fontId="96" fillId="0" borderId="32">
      <alignment horizontal="left" vertical="center"/>
    </xf>
    <xf numFmtId="0" fontId="97" fillId="0" borderId="0"/>
    <xf numFmtId="0" fontId="98" fillId="0" borderId="0"/>
    <xf numFmtId="0" fontId="99" fillId="0" borderId="0"/>
    <xf numFmtId="0" fontId="100" fillId="0" borderId="0"/>
    <xf numFmtId="0" fontId="101" fillId="0" borderId="0"/>
    <xf numFmtId="187" fontId="102" fillId="0" borderId="0" applyNumberFormat="0" applyFill="0" applyBorder="0" applyAlignment="0" applyProtection="0">
      <alignment vertical="top"/>
      <protection locked="0"/>
    </xf>
    <xf numFmtId="196" fontId="103" fillId="0" borderId="0"/>
    <xf numFmtId="0" fontId="104" fillId="0" borderId="0" applyNumberFormat="0" applyFill="0" applyBorder="0" applyAlignment="0" applyProtection="0"/>
    <xf numFmtId="10" fontId="94" fillId="61" borderId="33" applyNumberFormat="0" applyBorder="0" applyAlignment="0" applyProtection="0"/>
    <xf numFmtId="42" fontId="105" fillId="0" borderId="0">
      <alignment horizontal="center"/>
    </xf>
    <xf numFmtId="197" fontId="106" fillId="0" borderId="0" applyFont="0" applyFill="0" applyBorder="0" applyAlignment="0" applyProtection="0"/>
    <xf numFmtId="198" fontId="72" fillId="0" borderId="0"/>
    <xf numFmtId="199" fontId="107" fillId="0" borderId="0"/>
    <xf numFmtId="200" fontId="103" fillId="0" borderId="0"/>
    <xf numFmtId="201" fontId="103" fillId="0" borderId="0"/>
    <xf numFmtId="187"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8" fillId="0" borderId="2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9" fillId="0" borderId="2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187"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109" fillId="0" borderId="26" applyNumberFormat="0" applyFill="0" applyAlignment="0" applyProtection="0"/>
    <xf numFmtId="0" fontId="5" fillId="0" borderId="0" applyNumberFormat="0" applyFont="0" applyFill="0" applyBorder="0" applyAlignment="0" applyProtection="0"/>
    <xf numFmtId="187"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109" fillId="0" borderId="26" applyNumberFormat="0" applyFill="0" applyAlignment="0" applyProtection="0"/>
    <xf numFmtId="0" fontId="5" fillId="0" borderId="0" applyNumberFormat="0" applyFont="0" applyFill="0" applyBorder="0" applyAlignment="0" applyProtection="0"/>
    <xf numFmtId="0" fontId="58" fillId="0" borderId="26"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187" fontId="110"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9" fillId="9" borderId="2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111" fillId="62" borderId="35" applyNumberFormat="0" applyAlignment="0" applyProtection="0"/>
    <xf numFmtId="0" fontId="5" fillId="0" borderId="0" applyNumberFormat="0" applyFont="0" applyFill="0" applyBorder="0" applyAlignment="0" applyProtection="0"/>
    <xf numFmtId="0" fontId="111" fillId="62" borderId="35" applyNumberFormat="0" applyAlignment="0" applyProtection="0"/>
    <xf numFmtId="0" fontId="5" fillId="0" borderId="0" applyNumberFormat="0" applyFont="0" applyFill="0" applyBorder="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5" applyNumberFormat="0" applyAlignment="0" applyProtection="0"/>
    <xf numFmtId="0" fontId="110"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2" fillId="9" borderId="27" applyNumberFormat="0" applyAlignment="0" applyProtection="0"/>
    <xf numFmtId="0" fontId="78" fillId="0" borderId="27" applyNumberFormat="0" applyFill="0" applyAlignment="0" applyProtection="0"/>
    <xf numFmtId="187" fontId="110"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187" fontId="110" fillId="62" borderId="35" applyNumberFormat="0" applyAlignment="0" applyProtection="0"/>
    <xf numFmtId="187" fontId="110"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5" applyNumberFormat="0" applyAlignment="0" applyProtection="0"/>
    <xf numFmtId="0" fontId="110" fillId="62" borderId="35" applyNumberFormat="0" applyAlignment="0" applyProtection="0"/>
    <xf numFmtId="0" fontId="112" fillId="9" borderId="27" applyNumberFormat="0" applyAlignment="0" applyProtection="0"/>
    <xf numFmtId="0" fontId="5" fillId="0" borderId="0" applyNumberFormat="0" applyFont="0" applyFill="0" applyBorder="0" applyAlignment="0" applyProtection="0"/>
    <xf numFmtId="187" fontId="110" fillId="62" borderId="35" applyNumberFormat="0" applyAlignment="0" applyProtection="0"/>
    <xf numFmtId="187" fontId="110"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5" applyNumberFormat="0" applyAlignment="0" applyProtection="0"/>
    <xf numFmtId="0" fontId="110" fillId="62" borderId="35" applyNumberFormat="0" applyAlignment="0" applyProtection="0"/>
    <xf numFmtId="0" fontId="112" fillId="9" borderId="27" applyNumberFormat="0" applyAlignment="0" applyProtection="0"/>
    <xf numFmtId="0" fontId="5" fillId="0" borderId="0" applyNumberFormat="0" applyFont="0" applyFill="0" applyBorder="0" applyAlignment="0" applyProtection="0"/>
    <xf numFmtId="0" fontId="59" fillId="9" borderId="27" applyNumberFormat="0" applyAlignment="0" applyProtection="0"/>
    <xf numFmtId="0" fontId="112" fillId="9" borderId="27" applyNumberFormat="0" applyAlignment="0" applyProtection="0"/>
    <xf numFmtId="0" fontId="78" fillId="0" borderId="27" applyNumberFormat="0" applyFill="0" applyAlignment="0" applyProtection="0"/>
    <xf numFmtId="0" fontId="78" fillId="0" borderId="27" applyNumberFormat="0" applyFill="0" applyAlignment="0" applyProtection="0"/>
    <xf numFmtId="0" fontId="112" fillId="9" borderId="27" applyNumberFormat="0" applyAlignment="0" applyProtection="0"/>
    <xf numFmtId="0" fontId="78" fillId="0" borderId="27" applyNumberFormat="0" applyFill="0" applyAlignment="0" applyProtection="0"/>
    <xf numFmtId="1" fontId="113" fillId="63" borderId="0"/>
    <xf numFmtId="202" fontId="66" fillId="0" borderId="0" applyFont="0" applyFill="0" applyBorder="0" applyAlignment="0" applyProtection="0"/>
    <xf numFmtId="193" fontId="114" fillId="0" borderId="0"/>
    <xf numFmtId="38" fontId="75" fillId="0" borderId="0" applyFont="0" applyFill="0" applyBorder="0" applyAlignment="0" applyProtection="0"/>
    <xf numFmtId="203" fontId="115" fillId="0" borderId="0" applyFont="0" applyFill="0" applyBorder="0" applyAlignment="0" applyProtection="0"/>
    <xf numFmtId="204" fontId="115" fillId="0" borderId="0" applyFont="0" applyFill="0" applyBorder="0" applyAlignment="0" applyProtection="0"/>
    <xf numFmtId="205" fontId="115" fillId="0" borderId="0" applyFont="0" applyFill="0" applyBorder="0" applyAlignment="0" applyProtection="0"/>
    <xf numFmtId="206" fontId="115" fillId="0" borderId="0" applyFont="0" applyFill="0" applyBorder="0" applyAlignment="0" applyProtection="0"/>
    <xf numFmtId="187" fontId="116"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49" fillId="0" borderId="2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6" fillId="0" borderId="36" applyNumberFormat="0" applyFill="0" applyAlignment="0" applyProtection="0"/>
    <xf numFmtId="0" fontId="116"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21" applyNumberFormat="0" applyFill="0" applyAlignment="0" applyProtection="0"/>
    <xf numFmtId="0" fontId="119" fillId="0" borderId="2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187" fontId="116" fillId="0" borderId="36" applyNumberFormat="0" applyFill="0" applyAlignment="0" applyProtection="0"/>
    <xf numFmtId="0" fontId="117" fillId="0" borderId="37" applyNumberFormat="0" applyFill="0" applyAlignment="0" applyProtection="0"/>
    <xf numFmtId="0" fontId="116" fillId="0" borderId="36" applyNumberFormat="0" applyFill="0" applyAlignment="0" applyProtection="0"/>
    <xf numFmtId="0" fontId="116" fillId="0" borderId="36" applyNumberFormat="0" applyFill="0" applyAlignment="0" applyProtection="0"/>
    <xf numFmtId="0" fontId="118" fillId="0" borderId="21" applyNumberFormat="0" applyFill="0" applyAlignment="0" applyProtection="0"/>
    <xf numFmtId="0" fontId="5" fillId="0" borderId="0" applyNumberFormat="0" applyFont="0" applyFill="0" applyBorder="0" applyAlignment="0" applyProtection="0"/>
    <xf numFmtId="187" fontId="116" fillId="0" borderId="36" applyNumberFormat="0" applyFill="0" applyAlignment="0" applyProtection="0"/>
    <xf numFmtId="0" fontId="116" fillId="0" borderId="36" applyNumberFormat="0" applyFill="0" applyAlignment="0" applyProtection="0"/>
    <xf numFmtId="0" fontId="116" fillId="0" borderId="36" applyNumberFormat="0" applyFill="0" applyAlignment="0" applyProtection="0"/>
    <xf numFmtId="0" fontId="118" fillId="0" borderId="21" applyNumberFormat="0" applyFill="0" applyAlignment="0" applyProtection="0"/>
    <xf numFmtId="0" fontId="5" fillId="0" borderId="0" applyNumberFormat="0" applyFont="0" applyFill="0" applyBorder="0" applyAlignment="0" applyProtection="0"/>
    <xf numFmtId="0" fontId="49" fillId="0" borderId="21" applyNumberFormat="0" applyFill="0" applyAlignment="0" applyProtection="0"/>
    <xf numFmtId="0" fontId="118" fillId="0" borderId="21" applyNumberFormat="0" applyFill="0" applyAlignment="0" applyProtection="0"/>
    <xf numFmtId="0" fontId="119" fillId="0" borderId="21" applyNumberFormat="0" applyFill="0" applyAlignment="0" applyProtection="0"/>
    <xf numFmtId="0" fontId="119" fillId="0" borderId="21" applyNumberFormat="0" applyFill="0" applyAlignment="0" applyProtection="0"/>
    <xf numFmtId="0" fontId="118" fillId="0" borderId="21" applyNumberFormat="0" applyFill="0" applyAlignment="0" applyProtection="0"/>
    <xf numFmtId="0" fontId="119" fillId="0" borderId="21" applyNumberFormat="0" applyFill="0" applyAlignment="0" applyProtection="0"/>
    <xf numFmtId="187" fontId="120"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0" fillId="0" borderId="2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0" fillId="0" borderId="38" applyNumberFormat="0" applyFill="0" applyAlignment="0" applyProtection="0"/>
    <xf numFmtId="0" fontId="120"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2" fillId="0" borderId="22" applyNumberFormat="0" applyFill="0" applyAlignment="0" applyProtection="0"/>
    <xf numFmtId="0" fontId="119" fillId="0" borderId="2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187" fontId="120" fillId="0" borderId="38" applyNumberFormat="0" applyFill="0" applyAlignment="0" applyProtection="0"/>
    <xf numFmtId="0" fontId="121" fillId="0" borderId="39"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2" fillId="0" borderId="22" applyNumberFormat="0" applyFill="0" applyAlignment="0" applyProtection="0"/>
    <xf numFmtId="0" fontId="5" fillId="0" borderId="0" applyNumberFormat="0" applyFont="0" applyFill="0" applyBorder="0" applyAlignment="0" applyProtection="0"/>
    <xf numFmtId="187"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2" fillId="0" borderId="22" applyNumberFormat="0" applyFill="0" applyAlignment="0" applyProtection="0"/>
    <xf numFmtId="0" fontId="5" fillId="0" borderId="0" applyNumberFormat="0" applyFont="0" applyFill="0" applyBorder="0" applyAlignment="0" applyProtection="0"/>
    <xf numFmtId="0" fontId="50" fillId="0" borderId="22" applyNumberFormat="0" applyFill="0" applyAlignment="0" applyProtection="0"/>
    <xf numFmtId="0" fontId="122"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22" fillId="0" borderId="22" applyNumberFormat="0" applyFill="0" applyAlignment="0" applyProtection="0"/>
    <xf numFmtId="0" fontId="119" fillId="0" borderId="22" applyNumberFormat="0" applyFill="0" applyAlignment="0" applyProtection="0"/>
    <xf numFmtId="187" fontId="123"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1" fillId="0" borderId="2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3" fillId="0" borderId="40" applyNumberFormat="0" applyFill="0" applyAlignment="0" applyProtection="0"/>
    <xf numFmtId="0" fontId="123"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5" fillId="0" borderId="23" applyNumberFormat="0" applyFill="0" applyAlignment="0" applyProtection="0"/>
    <xf numFmtId="0" fontId="119" fillId="0" borderId="2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187" fontId="123" fillId="0" borderId="40" applyNumberFormat="0" applyFill="0" applyAlignment="0" applyProtection="0"/>
    <xf numFmtId="0" fontId="124" fillId="0" borderId="41" applyNumberFormat="0" applyFill="0" applyAlignment="0" applyProtection="0"/>
    <xf numFmtId="0" fontId="123" fillId="0" borderId="40" applyNumberFormat="0" applyFill="0" applyAlignment="0" applyProtection="0"/>
    <xf numFmtId="0" fontId="123" fillId="0" borderId="40" applyNumberFormat="0" applyFill="0" applyAlignment="0" applyProtection="0"/>
    <xf numFmtId="0" fontId="125" fillId="0" borderId="23" applyNumberFormat="0" applyFill="0" applyAlignment="0" applyProtection="0"/>
    <xf numFmtId="0" fontId="5" fillId="0" borderId="0" applyNumberFormat="0" applyFont="0" applyFill="0" applyBorder="0" applyAlignment="0" applyProtection="0"/>
    <xf numFmtId="187" fontId="123" fillId="0" borderId="40" applyNumberFormat="0" applyFill="0" applyAlignment="0" applyProtection="0"/>
    <xf numFmtId="0" fontId="123" fillId="0" borderId="40" applyNumberFormat="0" applyFill="0" applyAlignment="0" applyProtection="0"/>
    <xf numFmtId="0" fontId="123" fillId="0" borderId="40" applyNumberFormat="0" applyFill="0" applyAlignment="0" applyProtection="0"/>
    <xf numFmtId="0" fontId="125" fillId="0" borderId="23" applyNumberFormat="0" applyFill="0" applyAlignment="0" applyProtection="0"/>
    <xf numFmtId="0" fontId="5" fillId="0" borderId="0" applyNumberFormat="0" applyFont="0" applyFill="0" applyBorder="0" applyAlignment="0" applyProtection="0"/>
    <xf numFmtId="0" fontId="51" fillId="0" borderId="23" applyNumberFormat="0" applyFill="0" applyAlignment="0" applyProtection="0"/>
    <xf numFmtId="0" fontId="125"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25" fillId="0" borderId="23" applyNumberFormat="0" applyFill="0" applyAlignment="0" applyProtection="0"/>
    <xf numFmtId="0" fontId="119" fillId="0" borderId="23" applyNumberFormat="0" applyFill="0" applyAlignment="0" applyProtection="0"/>
    <xf numFmtId="187" fontId="12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1"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7"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5" fillId="0" borderId="0" applyNumberFormat="0" applyFill="0" applyBorder="0" applyAlignment="0" applyProtection="0"/>
    <xf numFmtId="0" fontId="5" fillId="0" borderId="0" applyNumberFormat="0" applyFont="0" applyFill="0" applyBorder="0" applyAlignment="0" applyProtection="0"/>
    <xf numFmtId="187"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5" fillId="0" borderId="0" applyNumberFormat="0" applyFill="0" applyBorder="0" applyAlignment="0" applyProtection="0"/>
    <xf numFmtId="0" fontId="5" fillId="0" borderId="0" applyNumberFormat="0" applyFont="0" applyFill="0" applyBorder="0" applyAlignment="0" applyProtection="0"/>
    <xf numFmtId="0" fontId="51" fillId="0" borderId="0" applyNumberForma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187"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4" fillId="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187"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7" fillId="6" borderId="0" applyNumberFormat="0" applyBorder="0" applyAlignment="0" applyProtection="0"/>
    <xf numFmtId="0" fontId="5" fillId="0" borderId="0" applyNumberFormat="0" applyFont="0" applyFill="0" applyBorder="0" applyAlignment="0" applyProtection="0"/>
    <xf numFmtId="187"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7" fillId="6" borderId="0" applyNumberFormat="0" applyBorder="0" applyAlignment="0" applyProtection="0"/>
    <xf numFmtId="0" fontId="5" fillId="0" borderId="0" applyNumberFormat="0" applyFont="0" applyFill="0" applyBorder="0" applyAlignment="0" applyProtection="0"/>
    <xf numFmtId="0" fontId="54" fillId="6" borderId="0" applyNumberFormat="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66" fillId="0" borderId="0"/>
    <xf numFmtId="0" fontId="70" fillId="0" borderId="0"/>
    <xf numFmtId="0" fontId="11" fillId="0" borderId="0"/>
    <xf numFmtId="0" fontId="1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66" fillId="0" borderId="0"/>
    <xf numFmtId="0" fontId="128" fillId="0" borderId="0"/>
    <xf numFmtId="0" fontId="129" fillId="0" borderId="0" applyNumberFormat="0" applyFont="0" applyFill="0" applyBorder="0" applyAlignment="0" applyProtection="0">
      <protection locked="0"/>
    </xf>
    <xf numFmtId="187" fontId="42"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187" fontId="42"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42" fillId="0" borderId="0"/>
    <xf numFmtId="187" fontId="42" fillId="0" borderId="0"/>
    <xf numFmtId="0" fontId="11" fillId="0" borderId="0"/>
    <xf numFmtId="0" fontId="70" fillId="0" borderId="0"/>
    <xf numFmtId="0" fontId="70" fillId="0" borderId="0"/>
    <xf numFmtId="0" fontId="11" fillId="0" borderId="0"/>
    <xf numFmtId="0" fontId="11"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4" fillId="0" borderId="0"/>
    <xf numFmtId="0" fontId="4" fillId="0" borderId="0"/>
    <xf numFmtId="0" fontId="130"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187" fontId="42" fillId="0" borderId="0"/>
    <xf numFmtId="187" fontId="42" fillId="0" borderId="0"/>
    <xf numFmtId="0" fontId="11" fillId="0" borderId="0"/>
    <xf numFmtId="0" fontId="70" fillId="0" borderId="0"/>
    <xf numFmtId="0" fontId="11" fillId="0" borderId="0"/>
    <xf numFmtId="0" fontId="70"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187" fontId="42" fillId="0" borderId="0"/>
    <xf numFmtId="187" fontId="42" fillId="0" borderId="0"/>
    <xf numFmtId="0" fontId="11" fillId="0" borderId="0"/>
    <xf numFmtId="0" fontId="11" fillId="0" borderId="0"/>
    <xf numFmtId="0" fontId="66" fillId="0" borderId="0"/>
    <xf numFmtId="0" fontId="11" fillId="0" borderId="0" applyNumberFormat="0" applyFill="0" applyBorder="0" applyAlignment="0" applyProtection="0"/>
    <xf numFmtId="187" fontId="70" fillId="0" borderId="0"/>
    <xf numFmtId="0" fontId="11"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66" fillId="0" borderId="0"/>
    <xf numFmtId="0" fontId="70" fillId="0" borderId="0"/>
    <xf numFmtId="187" fontId="42" fillId="0" borderId="0"/>
    <xf numFmtId="187" fontId="42" fillId="0" borderId="0"/>
    <xf numFmtId="0" fontId="11" fillId="0" borderId="0"/>
    <xf numFmtId="0" fontId="11" fillId="0" borderId="0"/>
    <xf numFmtId="0" fontId="66" fillId="0" borderId="0"/>
    <xf numFmtId="0" fontId="11" fillId="0" borderId="0" applyNumberFormat="0" applyFill="0" applyBorder="0" applyAlignment="0" applyProtection="0"/>
    <xf numFmtId="0" fontId="11" fillId="0" borderId="0"/>
    <xf numFmtId="0" fontId="11" fillId="0" borderId="0"/>
    <xf numFmtId="0" fontId="66" fillId="0" borderId="0"/>
    <xf numFmtId="0" fontId="11" fillId="0" borderId="0" applyNumberFormat="0" applyFill="0" applyBorder="0" applyAlignment="0" applyProtection="0"/>
    <xf numFmtId="187" fontId="42" fillId="0" borderId="0"/>
    <xf numFmtId="0" fontId="11" fillId="0" borderId="0"/>
    <xf numFmtId="0" fontId="66" fillId="0" borderId="0"/>
    <xf numFmtId="0" fontId="70" fillId="0" borderId="0"/>
    <xf numFmtId="187" fontId="42"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187" fontId="70" fillId="0" borderId="0"/>
    <xf numFmtId="187" fontId="76" fillId="0" borderId="0" applyFill="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70" fillId="0" borderId="0"/>
    <xf numFmtId="0" fontId="67" fillId="0" borderId="0"/>
    <xf numFmtId="0" fontId="67" fillId="0" borderId="0"/>
    <xf numFmtId="0" fontId="11" fillId="0" borderId="0" applyNumberFormat="0" applyFont="0" applyFill="0" applyBorder="0" applyAlignment="0" applyProtection="0"/>
    <xf numFmtId="188" fontId="70" fillId="0" borderId="0"/>
    <xf numFmtId="0" fontId="67" fillId="0" borderId="0"/>
    <xf numFmtId="0" fontId="67"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187" fontId="4" fillId="0" borderId="0"/>
    <xf numFmtId="0" fontId="70" fillId="0" borderId="0"/>
    <xf numFmtId="0" fontId="4" fillId="0" borderId="0" applyNumberFormat="0" applyFill="0" applyBorder="0" applyAlignment="0" applyProtection="0"/>
    <xf numFmtId="188" fontId="6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xf numFmtId="0" fontId="4" fillId="0" borderId="0"/>
    <xf numFmtId="0" fontId="11" fillId="0" borderId="0" applyNumberFormat="0" applyFont="0" applyFill="0" applyBorder="0" applyAlignment="0" applyProtection="0"/>
    <xf numFmtId="187" fontId="4" fillId="0" borderId="0"/>
    <xf numFmtId="187" fontId="11" fillId="0" borderId="0"/>
    <xf numFmtId="187" fontId="11" fillId="0" borderId="0"/>
    <xf numFmtId="0" fontId="4" fillId="0" borderId="0"/>
    <xf numFmtId="0" fontId="4" fillId="0" borderId="0"/>
    <xf numFmtId="0" fontId="66" fillId="0" borderId="0"/>
    <xf numFmtId="0" fontId="4" fillId="0" borderId="0"/>
    <xf numFmtId="0" fontId="4" fillId="0" borderId="0" applyNumberFormat="0" applyFill="0" applyBorder="0" applyAlignment="0" applyProtection="0"/>
    <xf numFmtId="187" fontId="5" fillId="0" borderId="0"/>
    <xf numFmtId="0" fontId="4" fillId="0" borderId="0"/>
    <xf numFmtId="0" fontId="4"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11" fillId="0" borderId="0" applyNumberFormat="0" applyFill="0" applyBorder="0" applyAlignment="0" applyProtection="0"/>
    <xf numFmtId="0" fontId="88" fillId="0" borderId="0"/>
    <xf numFmtId="0" fontId="88" fillId="0" borderId="0"/>
    <xf numFmtId="0" fontId="11" fillId="0" borderId="0" applyNumberFormat="0" applyFill="0" applyBorder="0" applyAlignment="0" applyProtection="0"/>
    <xf numFmtId="0" fontId="88" fillId="0" borderId="0"/>
    <xf numFmtId="0" fontId="88" fillId="0" borderId="0"/>
    <xf numFmtId="0" fontId="11" fillId="0" borderId="0" applyNumberFormat="0" applyFont="0" applyFill="0" applyBorder="0" applyAlignment="0" applyProtection="0"/>
    <xf numFmtId="0" fontId="70" fillId="0" borderId="0"/>
    <xf numFmtId="0" fontId="70" fillId="0" borderId="0"/>
    <xf numFmtId="0" fontId="70" fillId="0" borderId="0"/>
    <xf numFmtId="187"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31" fillId="0" borderId="0"/>
    <xf numFmtId="187"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66" fillId="0" borderId="0"/>
    <xf numFmtId="0" fontId="11" fillId="0" borderId="0" applyNumberFormat="0" applyFont="0" applyFill="0" applyBorder="0" applyAlignment="0" applyProtection="0"/>
    <xf numFmtId="0" fontId="66" fillId="0" borderId="0"/>
    <xf numFmtId="0" fontId="66" fillId="0" borderId="0"/>
    <xf numFmtId="0" fontId="67"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66" fillId="0" borderId="0"/>
    <xf numFmtId="187" fontId="66" fillId="0" borderId="0"/>
    <xf numFmtId="0" fontId="67" fillId="0" borderId="0"/>
    <xf numFmtId="187" fontId="11"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70" fillId="0" borderId="0"/>
    <xf numFmtId="187" fontId="42"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2" fillId="0" borderId="0"/>
    <xf numFmtId="0" fontId="4" fillId="0" borderId="0"/>
    <xf numFmtId="0" fontId="70"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105" fillId="0" borderId="0"/>
    <xf numFmtId="0" fontId="4" fillId="0" borderId="0"/>
    <xf numFmtId="0" fontId="4" fillId="0" borderId="0"/>
    <xf numFmtId="0" fontId="11" fillId="0" borderId="0"/>
    <xf numFmtId="0" fontId="105" fillId="0" borderId="0"/>
    <xf numFmtId="0" fontId="4" fillId="0" borderId="0"/>
    <xf numFmtId="0" fontId="4" fillId="0" borderId="0"/>
    <xf numFmtId="0" fontId="11" fillId="0" borderId="0"/>
    <xf numFmtId="0" fontId="105" fillId="0" borderId="0"/>
    <xf numFmtId="0" fontId="4" fillId="0" borderId="0"/>
    <xf numFmtId="0" fontId="4" fillId="0" borderId="0"/>
    <xf numFmtId="0" fontId="4" fillId="0" borderId="0"/>
    <xf numFmtId="0" fontId="11" fillId="0" borderId="0"/>
    <xf numFmtId="0" fontId="4" fillId="0" borderId="0"/>
    <xf numFmtId="0" fontId="88" fillId="0" borderId="0"/>
    <xf numFmtId="0" fontId="4" fillId="0" borderId="0"/>
    <xf numFmtId="187" fontId="70" fillId="0" borderId="0"/>
    <xf numFmtId="0" fontId="70"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70" fillId="0" borderId="0"/>
    <xf numFmtId="0" fontId="11" fillId="0" borderId="0" applyNumberFormat="0" applyFon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5"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applyNumberForma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xf numFmtId="187" fontId="5" fillId="0" borderId="0"/>
    <xf numFmtId="0" fontId="89" fillId="0" borderId="0"/>
    <xf numFmtId="0" fontId="11" fillId="0" borderId="0"/>
    <xf numFmtId="187" fontId="5" fillId="0" borderId="0"/>
    <xf numFmtId="187" fontId="70" fillId="0" borderId="0"/>
    <xf numFmtId="0" fontId="4" fillId="0" borderId="0"/>
    <xf numFmtId="0" fontId="11" fillId="0" borderId="0"/>
    <xf numFmtId="0" fontId="105" fillId="0" borderId="0"/>
    <xf numFmtId="0" fontId="4" fillId="0" borderId="0"/>
    <xf numFmtId="187" fontId="11" fillId="0" borderId="0"/>
    <xf numFmtId="0" fontId="4" fillId="0" borderId="0"/>
    <xf numFmtId="0" fontId="11" fillId="0" borderId="0"/>
    <xf numFmtId="0" fontId="4" fillId="0" borderId="0"/>
    <xf numFmtId="0" fontId="105" fillId="0" borderId="0"/>
    <xf numFmtId="0" fontId="4" fillId="0" borderId="0"/>
    <xf numFmtId="0" fontId="11" fillId="0" borderId="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70"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70" fillId="0" borderId="0"/>
    <xf numFmtId="0" fontId="4" fillId="0" borderId="0"/>
    <xf numFmtId="0" fontId="11" fillId="0" borderId="0"/>
    <xf numFmtId="0" fontId="4" fillId="0" borderId="0"/>
    <xf numFmtId="0" fontId="11" fillId="0" borderId="0"/>
    <xf numFmtId="187" fontId="42" fillId="0" borderId="0"/>
    <xf numFmtId="0" fontId="11" fillId="0" borderId="0"/>
    <xf numFmtId="0" fontId="11" fillId="0" borderId="0" applyNumberFormat="0" applyFill="0" applyBorder="0" applyAlignment="0" applyProtection="0"/>
    <xf numFmtId="187" fontId="4" fillId="0" borderId="0"/>
    <xf numFmtId="187" fontId="4" fillId="0" borderId="0"/>
    <xf numFmtId="0" fontId="1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 fillId="0" borderId="0"/>
    <xf numFmtId="0" fontId="4" fillId="0" borderId="0"/>
    <xf numFmtId="0" fontId="70" fillId="0" borderId="0"/>
    <xf numFmtId="0" fontId="4" fillId="0" borderId="0" applyNumberFormat="0" applyFill="0" applyBorder="0" applyAlignment="0" applyProtection="0"/>
    <xf numFmtId="187"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187" fontId="70" fillId="0" borderId="0"/>
    <xf numFmtId="0" fontId="70" fillId="0" borderId="0"/>
    <xf numFmtId="0" fontId="70" fillId="0" borderId="0"/>
    <xf numFmtId="0" fontId="11" fillId="0" borderId="0" applyNumberFormat="0" applyFont="0" applyFill="0" applyBorder="0" applyAlignment="0" applyProtection="0"/>
    <xf numFmtId="187" fontId="42" fillId="0" borderId="0"/>
    <xf numFmtId="0" fontId="11" fillId="0" borderId="0"/>
    <xf numFmtId="0" fontId="11" fillId="0" borderId="0"/>
    <xf numFmtId="0" fontId="11" fillId="0" borderId="0" applyNumberFormat="0" applyFill="0" applyBorder="0" applyAlignment="0" applyProtection="0"/>
    <xf numFmtId="187" fontId="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187" fontId="70" fillId="0" borderId="0"/>
    <xf numFmtId="0" fontId="70" fillId="0" borderId="0"/>
    <xf numFmtId="0" fontId="4" fillId="0" borderId="0"/>
    <xf numFmtId="0" fontId="11" fillId="0" borderId="0"/>
    <xf numFmtId="0" fontId="4" fillId="0" borderId="0"/>
    <xf numFmtId="187"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188" fontId="11" fillId="0" borderId="0"/>
    <xf numFmtId="0" fontId="4" fillId="0" borderId="0"/>
    <xf numFmtId="0" fontId="11" fillId="0" borderId="0"/>
    <xf numFmtId="0" fontId="11" fillId="0" borderId="0"/>
    <xf numFmtId="0" fontId="4" fillId="0" borderId="0"/>
    <xf numFmtId="188" fontId="11" fillId="0" borderId="0"/>
    <xf numFmtId="0" fontId="4" fillId="0" borderId="0"/>
    <xf numFmtId="0" fontId="11" fillId="0" borderId="0"/>
    <xf numFmtId="0" fontId="11" fillId="0" borderId="0"/>
    <xf numFmtId="0" fontId="4" fillId="0" borderId="0"/>
    <xf numFmtId="187" fontId="11"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187" fontId="132" fillId="0" borderId="0"/>
    <xf numFmtId="0" fontId="70" fillId="0" borderId="0"/>
    <xf numFmtId="0" fontId="11" fillId="0" borderId="0"/>
    <xf numFmtId="0" fontId="11" fillId="0" borderId="0" applyNumberFormat="0" applyFont="0" applyFill="0" applyBorder="0" applyAlignment="0" applyProtection="0"/>
    <xf numFmtId="0" fontId="42" fillId="0" borderId="0"/>
    <xf numFmtId="0" fontId="132" fillId="0" borderId="0" applyNumberFormat="0" applyFill="0" applyBorder="0" applyAlignment="0" applyProtection="0"/>
    <xf numFmtId="0" fontId="13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1" fillId="0" borderId="0" applyNumberFormat="0" applyFont="0" applyFill="0" applyBorder="0" applyAlignment="0" applyProtection="0"/>
    <xf numFmtId="0" fontId="11" fillId="0" borderId="0"/>
    <xf numFmtId="0" fontId="4" fillId="0" borderId="0"/>
    <xf numFmtId="0" fontId="4" fillId="0" borderId="0" applyNumberFormat="0" applyFill="0" applyBorder="0" applyAlignment="0" applyProtection="0"/>
    <xf numFmtId="0" fontId="70" fillId="0" borderId="0"/>
    <xf numFmtId="0" fontId="4"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xf numFmtId="0" fontId="11" fillId="0" borderId="0" applyNumberFormat="0" applyFont="0" applyFill="0" applyBorder="0" applyAlignment="0" applyProtection="0"/>
    <xf numFmtId="0" fontId="66" fillId="0" borderId="0"/>
    <xf numFmtId="0" fontId="132" fillId="0" borderId="0"/>
    <xf numFmtId="187" fontId="5" fillId="0" borderId="0"/>
    <xf numFmtId="0" fontId="11" fillId="0" borderId="0"/>
    <xf numFmtId="0" fontId="70" fillId="0" borderId="0"/>
    <xf numFmtId="0" fontId="11" fillId="0" borderId="0" applyNumberFormat="0" applyFont="0" applyFill="0" applyBorder="0" applyAlignment="0" applyProtection="0"/>
    <xf numFmtId="187" fontId="5" fillId="0" borderId="0"/>
    <xf numFmtId="0" fontId="132"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70"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4" fillId="0" borderId="0"/>
    <xf numFmtId="187" fontId="42" fillId="0" borderId="0"/>
    <xf numFmtId="187" fontId="42" fillId="0" borderId="0"/>
    <xf numFmtId="0" fontId="70" fillId="0" borderId="0"/>
    <xf numFmtId="0" fontId="11" fillId="0" borderId="0" applyNumberFormat="0" applyFill="0" applyBorder="0" applyAlignment="0" applyProtection="0"/>
    <xf numFmtId="187" fontId="42" fillId="0" borderId="0"/>
    <xf numFmtId="0" fontId="11" fillId="0" borderId="0" applyNumberFormat="0" applyFill="0" applyBorder="0" applyAlignment="0" applyProtection="0"/>
    <xf numFmtId="0" fontId="70" fillId="0" borderId="0"/>
    <xf numFmtId="0" fontId="11" fillId="0" borderId="0"/>
    <xf numFmtId="0" fontId="11" fillId="0" borderId="0" applyNumberFormat="0" applyFill="0" applyBorder="0" applyAlignment="0" applyProtection="0"/>
    <xf numFmtId="188" fontId="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42" fillId="0" borderId="0"/>
    <xf numFmtId="187" fontId="42" fillId="0" borderId="0"/>
    <xf numFmtId="0" fontId="11" fillId="0" borderId="0"/>
    <xf numFmtId="0" fontId="11" fillId="0" borderId="0" applyNumberFormat="0" applyFont="0" applyFill="0" applyBorder="0" applyAlignment="0" applyProtection="0"/>
    <xf numFmtId="0" fontId="70" fillId="0" borderId="0"/>
    <xf numFmtId="0" fontId="70" fillId="0" borderId="0"/>
    <xf numFmtId="0" fontId="11" fillId="0" borderId="0"/>
    <xf numFmtId="0" fontId="11" fillId="0" borderId="0" applyNumberFormat="0" applyFill="0" applyBorder="0" applyAlignment="0" applyProtection="0"/>
    <xf numFmtId="187"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4" fillId="0" borderId="0" applyNumberFormat="0" applyFill="0" applyBorder="0" applyAlignment="0" applyProtection="0"/>
    <xf numFmtId="0" fontId="11"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70"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70" fillId="0" borderId="0"/>
    <xf numFmtId="0" fontId="4" fillId="0" borderId="0"/>
    <xf numFmtId="0" fontId="4" fillId="0" borderId="0"/>
    <xf numFmtId="0" fontId="1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187" fontId="5" fillId="0" borderId="0"/>
    <xf numFmtId="187" fontId="42" fillId="0" borderId="0"/>
    <xf numFmtId="187" fontId="42" fillId="0" borderId="0"/>
    <xf numFmtId="0" fontId="11" fillId="0" borderId="0"/>
    <xf numFmtId="0" fontId="11" fillId="0" borderId="0" applyNumberFormat="0" applyFill="0" applyBorder="0" applyAlignment="0" applyProtection="0"/>
    <xf numFmtId="187" fontId="4" fillId="0" borderId="0"/>
    <xf numFmtId="0" fontId="11" fillId="0" borderId="0"/>
    <xf numFmtId="0" fontId="4" fillId="0" borderId="0"/>
    <xf numFmtId="0" fontId="4" fillId="0" borderId="0"/>
    <xf numFmtId="0" fontId="11" fillId="0" borderId="0"/>
    <xf numFmtId="0" fontId="4" fillId="0" borderId="0" applyNumberFormat="0" applyFill="0" applyBorder="0" applyAlignment="0" applyProtection="0"/>
    <xf numFmtId="187" fontId="4" fillId="0" borderId="0"/>
    <xf numFmtId="187" fontId="4" fillId="0" borderId="0"/>
    <xf numFmtId="0" fontId="11" fillId="0" borderId="0"/>
    <xf numFmtId="0" fontId="4" fillId="0" borderId="0"/>
    <xf numFmtId="0" fontId="4" fillId="0" borderId="0"/>
    <xf numFmtId="0" fontId="4" fillId="0" borderId="0" applyNumberFormat="0" applyFill="0" applyBorder="0" applyAlignment="0" applyProtection="0"/>
    <xf numFmtId="187" fontId="4" fillId="0" borderId="0"/>
    <xf numFmtId="187" fontId="5" fillId="0" borderId="0"/>
    <xf numFmtId="0" fontId="11" fillId="0" borderId="0"/>
    <xf numFmtId="187" fontId="5" fillId="0" borderId="0"/>
    <xf numFmtId="0" fontId="11" fillId="0" borderId="0"/>
    <xf numFmtId="187" fontId="5" fillId="0" borderId="0"/>
    <xf numFmtId="187" fontId="5" fillId="0" borderId="0"/>
    <xf numFmtId="187" fontId="5" fillId="0" borderId="0"/>
    <xf numFmtId="187" fontId="5" fillId="0" borderId="0"/>
    <xf numFmtId="187"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187" fontId="5" fillId="0" borderId="0"/>
    <xf numFmtId="187" fontId="42" fillId="0" borderId="0"/>
    <xf numFmtId="187" fontId="42" fillId="0" borderId="0"/>
    <xf numFmtId="0" fontId="70" fillId="0" borderId="0"/>
    <xf numFmtId="0" fontId="11" fillId="0" borderId="0"/>
    <xf numFmtId="0" fontId="11" fillId="0" borderId="0" applyNumberFormat="0" applyFon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4" fillId="0" borderId="0"/>
    <xf numFmtId="0" fontId="11" fillId="0" borderId="0"/>
    <xf numFmtId="0" fontId="4" fillId="0" borderId="0"/>
    <xf numFmtId="0" fontId="4" fillId="0" borderId="0"/>
    <xf numFmtId="0" fontId="4" fillId="0" borderId="0" applyNumberFormat="0" applyFill="0" applyBorder="0" applyAlignment="0" applyProtection="0"/>
    <xf numFmtId="187" fontId="4" fillId="0" borderId="0"/>
    <xf numFmtId="187" fontId="5" fillId="0" borderId="0"/>
    <xf numFmtId="0" fontId="66" fillId="0" borderId="0"/>
    <xf numFmtId="187" fontId="5" fillId="0" borderId="0"/>
    <xf numFmtId="0" fontId="66" fillId="0" borderId="0"/>
    <xf numFmtId="187" fontId="5" fillId="0" borderId="0"/>
    <xf numFmtId="187" fontId="5" fillId="0" borderId="0"/>
    <xf numFmtId="187" fontId="5" fillId="0" borderId="0"/>
    <xf numFmtId="187" fontId="5" fillId="0" borderId="0"/>
    <xf numFmtId="187"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11" fillId="0" borderId="0"/>
    <xf numFmtId="187" fontId="11" fillId="0" borderId="0"/>
    <xf numFmtId="0" fontId="66" fillId="0" borderId="0"/>
    <xf numFmtId="187" fontId="42" fillId="0" borderId="0"/>
    <xf numFmtId="0" fontId="66" fillId="0" borderId="0"/>
    <xf numFmtId="187" fontId="42" fillId="0" borderId="0"/>
    <xf numFmtId="0" fontId="70" fillId="0" borderId="0"/>
    <xf numFmtId="0" fontId="11"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3" fillId="0" borderId="0" applyNumberFormat="0" applyFill="0" applyBorder="0" applyProtection="0">
      <alignment vertical="top" wrapText="1"/>
    </xf>
    <xf numFmtId="0" fontId="133" fillId="0" borderId="0" applyNumberFormat="0" applyFill="0" applyBorder="0" applyProtection="0">
      <alignment vertical="top" wrapText="1"/>
    </xf>
    <xf numFmtId="207" fontId="134" fillId="0" borderId="0" applyFill="0" applyBorder="0" applyProtection="0">
      <alignment horizontal="right" vertical="top"/>
    </xf>
    <xf numFmtId="187" fontId="135" fillId="40"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57" fillId="8" borderId="24"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40"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40"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6" fillId="8" borderId="24" applyNumberFormat="0" applyAlignment="0" applyProtection="0"/>
    <xf numFmtId="0" fontId="109" fillId="0" borderId="24"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187" fontId="135" fillId="40"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40" borderId="30" applyNumberFormat="0" applyAlignment="0" applyProtection="0"/>
    <xf numFmtId="0" fontId="135" fillId="40" borderId="30" applyNumberFormat="0" applyAlignment="0" applyProtection="0"/>
    <xf numFmtId="0" fontId="136" fillId="8" borderId="24" applyNumberFormat="0" applyAlignment="0" applyProtection="0"/>
    <xf numFmtId="0" fontId="11" fillId="0" borderId="0" applyNumberFormat="0" applyFont="0" applyFill="0" applyBorder="0" applyAlignment="0" applyProtection="0"/>
    <xf numFmtId="187" fontId="135" fillId="40"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40" borderId="30" applyNumberFormat="0" applyAlignment="0" applyProtection="0"/>
    <xf numFmtId="0" fontId="135" fillId="40" borderId="30" applyNumberFormat="0" applyAlignment="0" applyProtection="0"/>
    <xf numFmtId="0" fontId="136" fillId="8" borderId="24" applyNumberFormat="0" applyAlignment="0" applyProtection="0"/>
    <xf numFmtId="0" fontId="11" fillId="0" borderId="0" applyNumberFormat="0" applyFont="0" applyFill="0" applyBorder="0" applyAlignment="0" applyProtection="0"/>
    <xf numFmtId="0" fontId="57" fillId="8" borderId="24" applyNumberFormat="0" applyAlignment="0" applyProtection="0"/>
    <xf numFmtId="0" fontId="136" fillId="8" borderId="24" applyNumberFormat="0" applyAlignment="0" applyProtection="0"/>
    <xf numFmtId="0" fontId="109" fillId="0" borderId="24" applyNumberFormat="0" applyFill="0" applyAlignment="0" applyProtection="0"/>
    <xf numFmtId="0" fontId="109" fillId="0" borderId="24" applyNumberFormat="0" applyFill="0" applyAlignment="0" applyProtection="0"/>
    <xf numFmtId="0" fontId="136" fillId="8" borderId="24" applyNumberFormat="0" applyAlignment="0" applyProtection="0"/>
    <xf numFmtId="0" fontId="109" fillId="0" borderId="24" applyNumberFormat="0" applyFill="0" applyAlignment="0" applyProtection="0"/>
    <xf numFmtId="208" fontId="137" fillId="0" borderId="0">
      <alignment horizontal="left"/>
    </xf>
    <xf numFmtId="40" fontId="138" fillId="53" borderId="0">
      <alignment horizontal="right"/>
    </xf>
    <xf numFmtId="0" fontId="139" fillId="53" borderId="0">
      <alignment horizontal="right"/>
    </xf>
    <xf numFmtId="0" fontId="140" fillId="53" borderId="42"/>
    <xf numFmtId="0" fontId="140" fillId="0" borderId="0" applyBorder="0">
      <alignment horizontal="centerContinuous"/>
    </xf>
    <xf numFmtId="0" fontId="141" fillId="0" borderId="0" applyBorder="0">
      <alignment horizontal="centerContinuous"/>
    </xf>
    <xf numFmtId="0" fontId="11" fillId="0" borderId="0" applyNumberFormat="0" applyFont="0" applyFill="0" applyBorder="0" applyAlignment="0" applyProtection="0"/>
    <xf numFmtId="0" fontId="11" fillId="0" borderId="0" applyNumberFormat="0" applyFont="0" applyFill="0" applyBorder="0" applyAlignment="0" applyProtection="0"/>
    <xf numFmtId="10" fontId="70" fillId="0" borderId="0" applyFont="0" applyFill="0" applyBorder="0" applyAlignment="0" applyProtection="0"/>
    <xf numFmtId="9" fontId="66" fillId="0" borderId="0" applyFont="0" applyFill="0" applyBorder="0" applyAlignment="0" applyProtection="0"/>
    <xf numFmtId="187" fontId="142" fillId="0" borderId="0" applyNumberFormat="0" applyFill="0" applyBorder="0" applyProtection="0">
      <alignment horizontal="left"/>
    </xf>
    <xf numFmtId="187" fontId="142" fillId="0" borderId="0" applyNumberFormat="0" applyFill="0" applyBorder="0" applyAlignment="0" applyProtection="0"/>
    <xf numFmtId="187" fontId="142" fillId="0" borderId="0" applyNumberFormat="0" applyFill="0" applyBorder="0" applyAlignment="0" applyProtection="0"/>
    <xf numFmtId="187" fontId="142" fillId="0" borderId="0" applyNumberFormat="0" applyFill="0" applyBorder="0" applyAlignment="0" applyProtection="0"/>
    <xf numFmtId="187" fontId="142" fillId="0" borderId="0" applyNumberFormat="0" applyFill="0" applyBorder="0" applyProtection="0">
      <alignment horizontal="left"/>
    </xf>
    <xf numFmtId="187" fontId="142" fillId="0" borderId="0" applyNumberFormat="0" applyFill="0" applyBorder="0" applyAlignment="0" applyProtection="0"/>
    <xf numFmtId="2" fontId="143" fillId="53" borderId="0">
      <protection locked="0"/>
    </xf>
    <xf numFmtId="209" fontId="133" fillId="0" borderId="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144"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145" fillId="46" borderId="43" applyNumberFormat="0" applyProtection="0">
      <alignment vertical="center"/>
    </xf>
    <xf numFmtId="4" fontId="146" fillId="64" borderId="43" applyNumberFormat="0" applyProtection="0">
      <alignment vertical="center"/>
    </xf>
    <xf numFmtId="4" fontId="145" fillId="64" borderId="43" applyNumberFormat="0" applyProtection="0">
      <alignment horizontal="left" vertical="center" indent="1"/>
    </xf>
    <xf numFmtId="0" fontId="145" fillId="64" borderId="43" applyNumberFormat="0" applyProtection="0">
      <alignment horizontal="left" vertical="top" indent="1"/>
    </xf>
    <xf numFmtId="4" fontId="145" fillId="65" borderId="0" applyNumberFormat="0" applyProtection="0">
      <alignment horizontal="left" vertical="center" indent="1"/>
    </xf>
    <xf numFmtId="4" fontId="147" fillId="36" borderId="43" applyNumberFormat="0" applyProtection="0">
      <alignment horizontal="right" vertical="center"/>
    </xf>
    <xf numFmtId="4" fontId="147" fillId="45" borderId="43" applyNumberFormat="0" applyProtection="0">
      <alignment horizontal="right" vertical="center"/>
    </xf>
    <xf numFmtId="4" fontId="147" fillId="43" borderId="43" applyNumberFormat="0" applyProtection="0">
      <alignment horizontal="right" vertical="center"/>
    </xf>
    <xf numFmtId="4" fontId="147" fillId="48" borderId="43" applyNumberFormat="0" applyProtection="0">
      <alignment horizontal="right" vertical="center"/>
    </xf>
    <xf numFmtId="4" fontId="147" fillId="52" borderId="43" applyNumberFormat="0" applyProtection="0">
      <alignment horizontal="right" vertical="center"/>
    </xf>
    <xf numFmtId="4" fontId="147" fillId="57" borderId="43" applyNumberFormat="0" applyProtection="0">
      <alignment horizontal="right" vertical="center"/>
    </xf>
    <xf numFmtId="4" fontId="147" fillId="55" borderId="43" applyNumberFormat="0" applyProtection="0">
      <alignment horizontal="right" vertical="center"/>
    </xf>
    <xf numFmtId="4" fontId="147" fillId="66" borderId="43" applyNumberFormat="0" applyProtection="0">
      <alignment horizontal="right" vertical="center"/>
    </xf>
    <xf numFmtId="4" fontId="147" fillId="47" borderId="43" applyNumberFormat="0" applyProtection="0">
      <alignment horizontal="right" vertical="center"/>
    </xf>
    <xf numFmtId="4" fontId="145" fillId="67" borderId="44" applyNumberFormat="0" applyProtection="0">
      <alignment horizontal="left" vertical="center" indent="1"/>
    </xf>
    <xf numFmtId="4" fontId="147" fillId="68" borderId="0" applyNumberFormat="0" applyProtection="0">
      <alignment horizontal="left" vertical="center" indent="1"/>
    </xf>
    <xf numFmtId="4" fontId="148" fillId="69" borderId="0" applyNumberFormat="0" applyProtection="0">
      <alignment horizontal="left" vertical="center" indent="1"/>
    </xf>
    <xf numFmtId="4" fontId="147" fillId="70" borderId="43" applyNumberFormat="0" applyProtection="0">
      <alignment horizontal="right" vertical="center"/>
    </xf>
    <xf numFmtId="4" fontId="149" fillId="68" borderId="0" applyNumberFormat="0" applyProtection="0">
      <alignment horizontal="left" vertical="center" indent="1"/>
    </xf>
    <xf numFmtId="4" fontId="149" fillId="65" borderId="0" applyNumberFormat="0" applyProtection="0">
      <alignment horizontal="left" vertical="center" indent="1"/>
    </xf>
    <xf numFmtId="0" fontId="70" fillId="69" borderId="43" applyNumberFormat="0" applyProtection="0">
      <alignment horizontal="left" vertical="center" indent="1"/>
    </xf>
    <xf numFmtId="0" fontId="70" fillId="69" borderId="43" applyNumberFormat="0" applyProtection="0">
      <alignment horizontal="left" vertical="center" indent="1"/>
    </xf>
    <xf numFmtId="0" fontId="70" fillId="69" borderId="43" applyNumberFormat="0" applyProtection="0">
      <alignment horizontal="left" vertical="center" indent="1"/>
    </xf>
    <xf numFmtId="0" fontId="70" fillId="69" borderId="43" applyNumberFormat="0" applyProtection="0">
      <alignment horizontal="left" vertical="top" indent="1"/>
    </xf>
    <xf numFmtId="0" fontId="70" fillId="69" borderId="43" applyNumberFormat="0" applyProtection="0">
      <alignment horizontal="left" vertical="top" indent="1"/>
    </xf>
    <xf numFmtId="0" fontId="70" fillId="69" borderId="43" applyNumberFormat="0" applyProtection="0">
      <alignment horizontal="left" vertical="top" indent="1"/>
    </xf>
    <xf numFmtId="0" fontId="70" fillId="65" borderId="43" applyNumberFormat="0" applyProtection="0">
      <alignment horizontal="left" vertical="center" indent="1"/>
    </xf>
    <xf numFmtId="0" fontId="70" fillId="65" borderId="43" applyNumberFormat="0" applyProtection="0">
      <alignment horizontal="left" vertical="center" indent="1"/>
    </xf>
    <xf numFmtId="0" fontId="70" fillId="65" borderId="43" applyNumberFormat="0" applyProtection="0">
      <alignment horizontal="left" vertical="center" indent="1"/>
    </xf>
    <xf numFmtId="0" fontId="70" fillId="65" borderId="43" applyNumberFormat="0" applyProtection="0">
      <alignment horizontal="left" vertical="top" indent="1"/>
    </xf>
    <xf numFmtId="0" fontId="70" fillId="65" borderId="43" applyNumberFormat="0" applyProtection="0">
      <alignment horizontal="left" vertical="top" indent="1"/>
    </xf>
    <xf numFmtId="0" fontId="70" fillId="65" borderId="43" applyNumberFormat="0" applyProtection="0">
      <alignment horizontal="left" vertical="top" indent="1"/>
    </xf>
    <xf numFmtId="0" fontId="70" fillId="71" borderId="43" applyNumberFormat="0" applyProtection="0">
      <alignment horizontal="left" vertical="center" indent="1"/>
    </xf>
    <xf numFmtId="0" fontId="70" fillId="71" borderId="43" applyNumberFormat="0" applyProtection="0">
      <alignment horizontal="left" vertical="center" indent="1"/>
    </xf>
    <xf numFmtId="0" fontId="70" fillId="71" borderId="43" applyNumberFormat="0" applyProtection="0">
      <alignment horizontal="left" vertical="center" indent="1"/>
    </xf>
    <xf numFmtId="0" fontId="70" fillId="71" borderId="43" applyNumberFormat="0" applyProtection="0">
      <alignment horizontal="left" vertical="top" indent="1"/>
    </xf>
    <xf numFmtId="0" fontId="70" fillId="71" borderId="43" applyNumberFormat="0" applyProtection="0">
      <alignment horizontal="left" vertical="top" indent="1"/>
    </xf>
    <xf numFmtId="0" fontId="70" fillId="71" borderId="43" applyNumberFormat="0" applyProtection="0">
      <alignment horizontal="left" vertical="top" indent="1"/>
    </xf>
    <xf numFmtId="0" fontId="70" fillId="72" borderId="43" applyNumberFormat="0" applyProtection="0">
      <alignment horizontal="left" vertical="center" indent="1"/>
    </xf>
    <xf numFmtId="0" fontId="70" fillId="72" borderId="43" applyNumberFormat="0" applyProtection="0">
      <alignment horizontal="left" vertical="center" indent="1"/>
    </xf>
    <xf numFmtId="0" fontId="70" fillId="72" borderId="43" applyNumberFormat="0" applyProtection="0">
      <alignment horizontal="left" vertical="center" indent="1"/>
    </xf>
    <xf numFmtId="0" fontId="70" fillId="72" borderId="43" applyNumberFormat="0" applyProtection="0">
      <alignment horizontal="left" vertical="top" indent="1"/>
    </xf>
    <xf numFmtId="0" fontId="70" fillId="72" borderId="43" applyNumberFormat="0" applyProtection="0">
      <alignment horizontal="left" vertical="top" indent="1"/>
    </xf>
    <xf numFmtId="0" fontId="70" fillId="72" borderId="43" applyNumberFormat="0" applyProtection="0">
      <alignment horizontal="left" vertical="top" indent="1"/>
    </xf>
    <xf numFmtId="4" fontId="147" fillId="61" borderId="43" applyNumberFormat="0" applyProtection="0">
      <alignment vertical="center"/>
    </xf>
    <xf numFmtId="4" fontId="150" fillId="61" borderId="43" applyNumberFormat="0" applyProtection="0">
      <alignment vertical="center"/>
    </xf>
    <xf numFmtId="4" fontId="147" fillId="61" borderId="43" applyNumberFormat="0" applyProtection="0">
      <alignment horizontal="left" vertical="center" indent="1"/>
    </xf>
    <xf numFmtId="0" fontId="147" fillId="61" borderId="43" applyNumberFormat="0" applyProtection="0">
      <alignment horizontal="left" vertical="top" indent="1"/>
    </xf>
    <xf numFmtId="4" fontId="147" fillId="68" borderId="43" applyNumberFormat="0" applyProtection="0">
      <alignment horizontal="right" vertical="center"/>
    </xf>
    <xf numFmtId="4" fontId="147" fillId="73" borderId="31" applyNumberFormat="0" applyProtection="0">
      <alignment horizontal="right" vertical="center"/>
    </xf>
    <xf numFmtId="4" fontId="150" fillId="68" borderId="43" applyNumberFormat="0" applyProtection="0">
      <alignment horizontal="right" vertical="center"/>
    </xf>
    <xf numFmtId="4" fontId="147" fillId="70" borderId="43" applyNumberFormat="0" applyProtection="0">
      <alignment horizontal="left" vertical="center" indent="1"/>
    </xf>
    <xf numFmtId="0" fontId="147" fillId="65" borderId="43" applyNumberFormat="0" applyProtection="0">
      <alignment horizontal="left" vertical="top" indent="1"/>
    </xf>
    <xf numFmtId="4" fontId="151" fillId="74" borderId="0" applyNumberFormat="0" applyProtection="0">
      <alignment horizontal="left" vertical="center" indent="1"/>
    </xf>
    <xf numFmtId="4" fontId="152" fillId="68" borderId="43" applyNumberFormat="0" applyProtection="0">
      <alignment horizontal="right" vertical="center"/>
    </xf>
    <xf numFmtId="0" fontId="11" fillId="0" borderId="0" applyNumberFormat="0" applyFont="0" applyFill="0" applyBorder="0" applyAlignment="0" applyProtection="0"/>
    <xf numFmtId="0" fontId="153" fillId="0" borderId="0"/>
    <xf numFmtId="0" fontId="149" fillId="0" borderId="0">
      <alignment vertical="top"/>
    </xf>
    <xf numFmtId="0" fontId="154" fillId="0" borderId="45"/>
    <xf numFmtId="187" fontId="111"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2" fillId="0" borderId="29"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1" fillId="0" borderId="46"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1" fillId="0" borderId="46"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55" fillId="0" borderId="29" applyNumberFormat="0" applyFill="0" applyAlignment="0" applyProtection="0"/>
    <xf numFmtId="0" fontId="11" fillId="0" borderId="29"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187" fontId="111" fillId="0" borderId="46"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55" fillId="0" borderId="29" applyNumberFormat="0" applyFill="0" applyAlignment="0" applyProtection="0"/>
    <xf numFmtId="0" fontId="11" fillId="0" borderId="0" applyNumberFormat="0" applyFont="0" applyFill="0" applyBorder="0" applyAlignment="0" applyProtection="0"/>
    <xf numFmtId="187" fontId="111"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55" fillId="0" borderId="29" applyNumberFormat="0" applyFill="0" applyAlignment="0" applyProtection="0"/>
    <xf numFmtId="0" fontId="11" fillId="0" borderId="0" applyNumberFormat="0" applyFont="0" applyFill="0" applyBorder="0" applyAlignment="0" applyProtection="0"/>
    <xf numFmtId="0" fontId="12" fillId="0" borderId="29" applyNumberFormat="0" applyFill="0" applyAlignment="0" applyProtection="0"/>
    <xf numFmtId="0" fontId="155" fillId="0" borderId="29" applyNumberFormat="0" applyFill="0" applyAlignment="0" applyProtection="0"/>
    <xf numFmtId="0" fontId="11" fillId="0" borderId="29" applyNumberFormat="0" applyFill="0" applyAlignment="0" applyProtection="0"/>
    <xf numFmtId="0" fontId="11" fillId="0" borderId="29" applyNumberFormat="0" applyFill="0" applyAlignment="0" applyProtection="0"/>
    <xf numFmtId="0" fontId="155" fillId="0" borderId="29" applyNumberFormat="0" applyFill="0" applyAlignment="0" applyProtection="0"/>
    <xf numFmtId="0" fontId="11" fillId="0" borderId="29" applyNumberFormat="0" applyFill="0" applyAlignment="0" applyProtection="0"/>
    <xf numFmtId="187"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6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187"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1" fillId="0" borderId="0" applyNumberFormat="0" applyFont="0" applyFill="0" applyBorder="0" applyAlignment="0" applyProtection="0"/>
    <xf numFmtId="187"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1" fillId="0" borderId="0" applyNumberFormat="0" applyFont="0" applyFill="0" applyBorder="0" applyAlignment="0" applyProtection="0"/>
    <xf numFmtId="0" fontId="61"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187"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87" fontId="159"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187"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0" fontId="6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187"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4"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187" fontId="162"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187"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3" fontId="166" fillId="0" borderId="0"/>
    <xf numFmtId="208" fontId="137" fillId="0" borderId="0">
      <alignment horizontal="left"/>
    </xf>
    <xf numFmtId="0" fontId="11"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187" fontId="70"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28" applyNumberFormat="0" applyFont="0" applyFill="0" applyAlignment="0" applyProtection="0"/>
    <xf numFmtId="0" fontId="11" fillId="10" borderId="28" applyNumberFormat="0" applyFont="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28" applyNumberFormat="0" applyFont="0" applyFill="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70" fillId="42" borderId="48"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70" fillId="42" borderId="48"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187" fontId="70" fillId="42" borderId="4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70" fillId="42" borderId="48" applyNumberFormat="0" applyFont="0" applyAlignment="0" applyProtection="0"/>
    <xf numFmtId="0" fontId="5" fillId="10" borderId="28" applyNumberFormat="0" applyFont="0" applyAlignment="0" applyProtection="0"/>
    <xf numFmtId="0" fontId="70" fillId="42" borderId="4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187" fontId="70"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70" fillId="42" borderId="48" applyNumberFormat="0" applyFont="0" applyAlignment="0" applyProtection="0"/>
    <xf numFmtId="0" fontId="70" fillId="42" borderId="4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193" fontId="114" fillId="0" borderId="0"/>
    <xf numFmtId="210" fontId="75" fillId="0" borderId="0" applyFont="0" applyFill="0" applyBorder="0" applyAlignment="0" applyProtection="0"/>
    <xf numFmtId="189" fontId="74" fillId="0" borderId="0" applyFont="0" applyFill="0" applyBorder="0" applyAlignment="0" applyProtection="0"/>
    <xf numFmtId="211" fontId="70" fillId="0" borderId="0" applyFont="0" applyFill="0" applyBorder="0" applyAlignment="0" applyProtection="0"/>
    <xf numFmtId="212" fontId="70" fillId="0" borderId="0" applyFont="0" applyFill="0" applyBorder="0" applyAlignment="0" applyProtection="0"/>
    <xf numFmtId="44"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4" fillId="0" borderId="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3" fillId="5"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1" fillId="0" borderId="0" applyNumberFormat="0" applyFont="0" applyFill="0" applyBorder="0" applyAlignment="0" applyProtection="0"/>
    <xf numFmtId="0" fontId="53" fillId="5"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63" fillId="0" borderId="0" applyFont="0" applyFill="0" applyBorder="0" applyAlignment="0" applyProtection="0"/>
    <xf numFmtId="0" fontId="2" fillId="0" borderId="0"/>
    <xf numFmtId="9" fontId="2" fillId="0" borderId="0" applyFont="0" applyFill="0" applyBorder="0" applyAlignment="0" applyProtection="0"/>
    <xf numFmtId="0" fontId="130" fillId="0" borderId="0"/>
    <xf numFmtId="0" fontId="2" fillId="0" borderId="0"/>
  </cellStyleXfs>
  <cellXfs count="745">
    <xf numFmtId="0" fontId="0" fillId="0" borderId="0" xfId="0"/>
    <xf numFmtId="0" fontId="6" fillId="0" borderId="0" xfId="0" applyFont="1" applyBorder="1" applyAlignment="1">
      <alignment vertical="center"/>
    </xf>
    <xf numFmtId="0" fontId="6" fillId="0" borderId="0" xfId="0" applyFont="1" applyAlignment="1">
      <alignment vertical="center"/>
    </xf>
    <xf numFmtId="0" fontId="13" fillId="2" borderId="0" xfId="0" applyFont="1" applyFill="1" applyAlignment="1">
      <alignment vertical="center"/>
    </xf>
    <xf numFmtId="0" fontId="6" fillId="0" borderId="0" xfId="0" applyFont="1" applyFill="1" applyBorder="1" applyAlignment="1">
      <alignment vertical="center"/>
    </xf>
    <xf numFmtId="0" fontId="18" fillId="2" borderId="0" xfId="0" applyFont="1" applyFill="1" applyAlignment="1">
      <alignment vertical="center"/>
    </xf>
    <xf numFmtId="0" fontId="9" fillId="0" borderId="0" xfId="0" applyFont="1" applyAlignment="1">
      <alignment vertical="center"/>
    </xf>
    <xf numFmtId="0" fontId="9" fillId="0" borderId="0" xfId="0" applyFont="1"/>
    <xf numFmtId="0" fontId="9" fillId="2" borderId="0" xfId="0" applyFont="1" applyFill="1" applyAlignment="1">
      <alignment vertical="center"/>
    </xf>
    <xf numFmtId="0" fontId="9" fillId="2" borderId="0" xfId="0" applyFont="1" applyFill="1" applyBorder="1" applyAlignment="1">
      <alignment vertical="center"/>
    </xf>
    <xf numFmtId="0" fontId="9" fillId="2" borderId="0" xfId="0" applyFont="1" applyFill="1"/>
    <xf numFmtId="0" fontId="9" fillId="2" borderId="0" xfId="0" applyFont="1" applyFill="1" applyBorder="1"/>
    <xf numFmtId="0" fontId="20" fillId="2" borderId="0" xfId="0" applyFont="1" applyFill="1"/>
    <xf numFmtId="0" fontId="25" fillId="2" borderId="0" xfId="0" applyFont="1" applyFill="1" applyAlignment="1">
      <alignment vertical="center"/>
    </xf>
    <xf numFmtId="0" fontId="25" fillId="0" borderId="0" xfId="0" applyFont="1" applyAlignment="1">
      <alignment vertical="center"/>
    </xf>
    <xf numFmtId="0" fontId="12" fillId="2" borderId="0" xfId="0" applyFont="1" applyFill="1" applyAlignment="1">
      <alignment vertical="center"/>
    </xf>
    <xf numFmtId="0" fontId="27" fillId="2" borderId="0" xfId="0" applyFont="1" applyFill="1" applyAlignment="1"/>
    <xf numFmtId="0" fontId="25" fillId="2" borderId="0" xfId="0" applyFont="1" applyFill="1"/>
    <xf numFmtId="0" fontId="25" fillId="0" borderId="0" xfId="0" applyFont="1"/>
    <xf numFmtId="0" fontId="30" fillId="2" borderId="0" xfId="0" applyFont="1" applyFill="1"/>
    <xf numFmtId="0" fontId="9" fillId="0" borderId="0" xfId="0" applyFont="1" applyBorder="1"/>
    <xf numFmtId="170" fontId="9" fillId="2" borderId="0" xfId="0" applyNumberFormat="1" applyFont="1" applyFill="1" applyBorder="1" applyAlignment="1">
      <alignment vertical="center"/>
    </xf>
    <xf numFmtId="173" fontId="9" fillId="2" borderId="0" xfId="0" applyNumberFormat="1" applyFont="1" applyFill="1" applyBorder="1" applyAlignment="1">
      <alignment vertical="center"/>
    </xf>
    <xf numFmtId="174" fontId="28" fillId="2" borderId="0" xfId="1" applyNumberFormat="1" applyFont="1" applyFill="1" applyBorder="1" applyAlignment="1">
      <alignment horizontal="right" vertical="center"/>
    </xf>
    <xf numFmtId="174" fontId="9" fillId="2" borderId="0" xfId="0" applyNumberFormat="1" applyFont="1" applyFill="1" applyBorder="1" applyAlignment="1">
      <alignment vertical="center"/>
    </xf>
    <xf numFmtId="173" fontId="28" fillId="2" borderId="0" xfId="1" applyNumberFormat="1" applyFont="1" applyFill="1" applyBorder="1" applyAlignment="1">
      <alignment horizontal="right" vertical="center"/>
    </xf>
    <xf numFmtId="172" fontId="9" fillId="2" borderId="0" xfId="0" applyNumberFormat="1" applyFont="1" applyFill="1" applyBorder="1" applyAlignment="1">
      <alignment vertical="center"/>
    </xf>
    <xf numFmtId="173" fontId="30" fillId="2" borderId="0" xfId="0" applyNumberFormat="1" applyFont="1" applyFill="1" applyBorder="1" applyAlignment="1">
      <alignment vertical="center"/>
    </xf>
    <xf numFmtId="174" fontId="30" fillId="2" borderId="0" xfId="0" applyNumberFormat="1" applyFont="1" applyFill="1" applyBorder="1" applyAlignment="1">
      <alignment vertical="center"/>
    </xf>
    <xf numFmtId="165" fontId="28" fillId="2" borderId="0" xfId="0" applyNumberFormat="1" applyFont="1" applyFill="1" applyBorder="1" applyAlignment="1">
      <alignment horizontal="right" vertical="center"/>
    </xf>
    <xf numFmtId="170" fontId="30" fillId="2" borderId="0" xfId="0" applyNumberFormat="1" applyFont="1" applyFill="1" applyBorder="1" applyAlignment="1">
      <alignment vertical="center"/>
    </xf>
    <xf numFmtId="170" fontId="28" fillId="2" borderId="0" xfId="0" applyNumberFormat="1" applyFont="1" applyFill="1" applyBorder="1" applyAlignment="1">
      <alignment horizontal="right" vertical="center"/>
    </xf>
    <xf numFmtId="170" fontId="9" fillId="2" borderId="0" xfId="0" applyNumberFormat="1" applyFont="1" applyFill="1" applyAlignment="1">
      <alignment vertical="center"/>
    </xf>
    <xf numFmtId="0" fontId="9" fillId="2" borderId="3" xfId="0" applyFont="1" applyFill="1" applyBorder="1" applyAlignment="1">
      <alignment horizontal="left" vertical="center"/>
    </xf>
    <xf numFmtId="0" fontId="9" fillId="2" borderId="0" xfId="0" applyFont="1" applyFill="1" applyAlignment="1">
      <alignment horizontal="left" vertical="center"/>
    </xf>
    <xf numFmtId="0" fontId="29" fillId="2" borderId="3" xfId="0" applyFont="1" applyFill="1" applyBorder="1" applyAlignment="1">
      <alignment horizontal="left" vertical="center" indent="2"/>
    </xf>
    <xf numFmtId="173" fontId="9" fillId="2" borderId="0" xfId="0" applyNumberFormat="1" applyFont="1" applyFill="1" applyBorder="1" applyAlignment="1">
      <alignment horizontal="right" vertical="center"/>
    </xf>
    <xf numFmtId="174" fontId="28" fillId="2" borderId="3" xfId="1" applyNumberFormat="1" applyFont="1" applyFill="1" applyBorder="1" applyAlignment="1">
      <alignment horizontal="right" vertical="center"/>
    </xf>
    <xf numFmtId="174" fontId="30" fillId="2" borderId="3" xfId="0" applyNumberFormat="1" applyFont="1" applyFill="1" applyBorder="1" applyAlignment="1">
      <alignment vertical="center"/>
    </xf>
    <xf numFmtId="0" fontId="6" fillId="2" borderId="0" xfId="0" applyFont="1" applyFill="1" applyBorder="1" applyAlignment="1">
      <alignment vertical="center"/>
    </xf>
    <xf numFmtId="181" fontId="28" fillId="2" borderId="0" xfId="1" applyNumberFormat="1" applyFont="1" applyFill="1" applyBorder="1" applyAlignment="1">
      <alignment horizontal="right" vertical="center"/>
    </xf>
    <xf numFmtId="0" fontId="40" fillId="2" borderId="0" xfId="0" applyFont="1" applyFill="1"/>
    <xf numFmtId="171" fontId="40" fillId="2" borderId="0" xfId="0" applyNumberFormat="1" applyFont="1" applyFill="1" applyBorder="1" applyAlignment="1">
      <alignment horizontal="right" vertical="center"/>
    </xf>
    <xf numFmtId="177" fontId="40" fillId="2" borderId="0" xfId="0" applyNumberFormat="1" applyFont="1" applyFill="1" applyBorder="1" applyAlignment="1">
      <alignment horizontal="right" vertical="center"/>
    </xf>
    <xf numFmtId="179" fontId="23" fillId="2" borderId="0" xfId="0" applyNumberFormat="1" applyFont="1" applyFill="1" applyBorder="1" applyAlignment="1">
      <alignment vertical="center"/>
    </xf>
    <xf numFmtId="0" fontId="40" fillId="2" borderId="0" xfId="0" applyFont="1" applyFill="1" applyAlignment="1">
      <alignment vertical="center"/>
    </xf>
    <xf numFmtId="0" fontId="40" fillId="0" borderId="0" xfId="0" applyFont="1" applyAlignment="1">
      <alignment vertical="center"/>
    </xf>
    <xf numFmtId="173" fontId="9" fillId="2" borderId="3" xfId="0" applyNumberFormat="1" applyFont="1" applyFill="1" applyBorder="1" applyAlignment="1">
      <alignment horizontal="right" vertical="center"/>
    </xf>
    <xf numFmtId="167" fontId="9" fillId="2" borderId="0" xfId="0" applyNumberFormat="1" applyFont="1" applyFill="1" applyBorder="1" applyAlignment="1">
      <alignment horizontal="right" vertical="center"/>
    </xf>
    <xf numFmtId="167" fontId="9" fillId="2" borderId="3" xfId="0" applyNumberFormat="1" applyFont="1" applyFill="1" applyBorder="1" applyAlignment="1">
      <alignment horizontal="right" vertical="center"/>
    </xf>
    <xf numFmtId="184" fontId="9" fillId="2" borderId="0" xfId="0" applyNumberFormat="1" applyFont="1" applyFill="1" applyBorder="1" applyAlignment="1">
      <alignment horizontal="right" vertical="center"/>
    </xf>
    <xf numFmtId="167" fontId="9" fillId="2" borderId="0" xfId="0" applyNumberFormat="1" applyFont="1" applyFill="1" applyBorder="1" applyAlignment="1">
      <alignment vertical="center"/>
    </xf>
    <xf numFmtId="182" fontId="9" fillId="2" borderId="0" xfId="0" applyNumberFormat="1" applyFont="1" applyFill="1" applyBorder="1" applyAlignment="1">
      <alignment horizontal="right" vertical="center"/>
    </xf>
    <xf numFmtId="182" fontId="40" fillId="2" borderId="0" xfId="0" applyNumberFormat="1" applyFont="1" applyFill="1" applyBorder="1" applyAlignment="1">
      <alignment horizontal="right" vertical="center"/>
    </xf>
    <xf numFmtId="0" fontId="9" fillId="2" borderId="0" xfId="0" applyFont="1" applyFill="1" applyBorder="1" applyAlignment="1">
      <alignment horizontal="right" vertical="center"/>
    </xf>
    <xf numFmtId="0" fontId="42" fillId="2" borderId="0" xfId="0" applyFont="1" applyFill="1"/>
    <xf numFmtId="0" fontId="9" fillId="0" borderId="3" xfId="0" applyFont="1" applyFill="1" applyBorder="1" applyAlignment="1">
      <alignment horizontal="left" vertical="center" wrapText="1"/>
    </xf>
    <xf numFmtId="171" fontId="9" fillId="0" borderId="0" xfId="0" applyNumberFormat="1" applyFont="1" applyFill="1" applyBorder="1" applyAlignment="1">
      <alignment horizontal="right" vertical="center"/>
    </xf>
    <xf numFmtId="171" fontId="9" fillId="0" borderId="3" xfId="0" applyNumberFormat="1" applyFont="1" applyFill="1" applyBorder="1" applyAlignment="1">
      <alignment horizontal="right" vertical="center"/>
    </xf>
    <xf numFmtId="171" fontId="9" fillId="2" borderId="0" xfId="0" applyNumberFormat="1" applyFont="1" applyFill="1" applyBorder="1" applyAlignment="1">
      <alignment horizontal="right" vertical="center"/>
    </xf>
    <xf numFmtId="176" fontId="45" fillId="0" borderId="0" xfId="0" applyNumberFormat="1" applyFont="1" applyFill="1" applyAlignment="1">
      <alignment horizontal="right" vertical="center"/>
    </xf>
    <xf numFmtId="0" fontId="20" fillId="0" borderId="0" xfId="0" applyFont="1"/>
    <xf numFmtId="177" fontId="9" fillId="0" borderId="0" xfId="0" applyNumberFormat="1" applyFont="1" applyFill="1" applyBorder="1" applyAlignment="1">
      <alignment horizontal="right" vertical="center"/>
    </xf>
    <xf numFmtId="177" fontId="9" fillId="0" borderId="3" xfId="0" applyNumberFormat="1" applyFont="1" applyFill="1" applyBorder="1" applyAlignment="1">
      <alignment horizontal="right" vertical="center"/>
    </xf>
    <xf numFmtId="177" fontId="9" fillId="2" borderId="0" xfId="0" applyNumberFormat="1" applyFont="1" applyFill="1" applyBorder="1" applyAlignment="1">
      <alignment horizontal="right" vertical="center"/>
    </xf>
    <xf numFmtId="0" fontId="20" fillId="0" borderId="0" xfId="0" applyFont="1" applyFill="1"/>
    <xf numFmtId="176" fontId="28" fillId="0" borderId="0" xfId="0" applyNumberFormat="1" applyFont="1" applyFill="1" applyAlignment="1">
      <alignment horizontal="right" vertical="center"/>
    </xf>
    <xf numFmtId="0" fontId="44" fillId="0" borderId="3" xfId="0" applyFont="1" applyBorder="1" applyAlignment="1">
      <alignment vertical="center"/>
    </xf>
    <xf numFmtId="179" fontId="20" fillId="0" borderId="0" xfId="0" applyNumberFormat="1" applyFont="1" applyFill="1" applyBorder="1" applyAlignment="1">
      <alignment horizontal="right" vertical="center"/>
    </xf>
    <xf numFmtId="179" fontId="9" fillId="0" borderId="3" xfId="0" applyNumberFormat="1" applyFont="1" applyFill="1" applyBorder="1" applyAlignment="1">
      <alignment horizontal="right" vertical="center"/>
    </xf>
    <xf numFmtId="179" fontId="20" fillId="0" borderId="3" xfId="0" applyNumberFormat="1" applyFont="1" applyFill="1" applyBorder="1" applyAlignment="1">
      <alignment horizontal="right" vertical="center"/>
    </xf>
    <xf numFmtId="179" fontId="31" fillId="0" borderId="0" xfId="0" applyNumberFormat="1" applyFont="1" applyFill="1" applyAlignment="1">
      <alignment horizontal="right" vertical="center"/>
    </xf>
    <xf numFmtId="179" fontId="20" fillId="2" borderId="0" xfId="0" applyNumberFormat="1" applyFont="1" applyFill="1" applyBorder="1" applyAlignment="1">
      <alignment horizontal="right" vertical="center"/>
    </xf>
    <xf numFmtId="0" fontId="9" fillId="0" borderId="0" xfId="0" applyFont="1" applyFill="1"/>
    <xf numFmtId="0" fontId="9" fillId="0" borderId="0" xfId="0" applyFont="1" applyFill="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12" fillId="0" borderId="0" xfId="0" applyFont="1" applyAlignment="1">
      <alignment vertical="center"/>
    </xf>
    <xf numFmtId="0" fontId="29" fillId="0" borderId="3" xfId="0" applyFont="1" applyFill="1" applyBorder="1" applyAlignment="1">
      <alignment horizontal="left" vertical="center" wrapText="1" indent="2"/>
    </xf>
    <xf numFmtId="174" fontId="30" fillId="0" borderId="0" xfId="0" applyNumberFormat="1" applyFont="1" applyFill="1" applyBorder="1" applyAlignment="1">
      <alignment vertical="center"/>
    </xf>
    <xf numFmtId="182" fontId="9" fillId="0" borderId="9" xfId="0" applyNumberFormat="1" applyFont="1" applyFill="1" applyBorder="1" applyAlignment="1">
      <alignment vertical="center"/>
    </xf>
    <xf numFmtId="182" fontId="9" fillId="0" borderId="3" xfId="0" applyNumberFormat="1" applyFont="1" applyFill="1" applyBorder="1" applyAlignment="1">
      <alignment vertical="center"/>
    </xf>
    <xf numFmtId="182" fontId="9" fillId="0" borderId="0" xfId="0" applyNumberFormat="1" applyFont="1" applyFill="1" applyAlignment="1">
      <alignment vertical="center"/>
    </xf>
    <xf numFmtId="183" fontId="9" fillId="0" borderId="0" xfId="0" applyNumberFormat="1" applyFont="1" applyFill="1" applyBorder="1" applyAlignment="1">
      <alignment vertical="center"/>
    </xf>
    <xf numFmtId="183" fontId="9" fillId="0" borderId="9" xfId="0" applyNumberFormat="1" applyFont="1" applyFill="1" applyBorder="1" applyAlignment="1">
      <alignment vertical="center"/>
    </xf>
    <xf numFmtId="183" fontId="9" fillId="0" borderId="3" xfId="0" applyNumberFormat="1" applyFont="1" applyFill="1" applyBorder="1" applyAlignment="1">
      <alignment vertical="center"/>
    </xf>
    <xf numFmtId="182" fontId="22" fillId="0" borderId="3" xfId="0" applyNumberFormat="1" applyFont="1" applyFill="1" applyBorder="1" applyAlignment="1">
      <alignment horizontal="right" vertical="center"/>
    </xf>
    <xf numFmtId="183" fontId="9" fillId="0" borderId="0" xfId="0" applyNumberFormat="1" applyFont="1" applyFill="1" applyAlignment="1">
      <alignment vertical="center"/>
    </xf>
    <xf numFmtId="0" fontId="9" fillId="0" borderId="3" xfId="0" applyFont="1" applyFill="1" applyBorder="1" applyAlignment="1">
      <alignment vertical="center" wrapText="1"/>
    </xf>
    <xf numFmtId="182" fontId="40" fillId="2" borderId="3" xfId="0" applyNumberFormat="1" applyFont="1" applyFill="1" applyBorder="1" applyAlignment="1">
      <alignment horizontal="right" vertical="center"/>
    </xf>
    <xf numFmtId="177" fontId="40" fillId="2" borderId="3" xfId="0" applyNumberFormat="1" applyFont="1" applyFill="1" applyBorder="1" applyAlignment="1">
      <alignment horizontal="right" vertical="center"/>
    </xf>
    <xf numFmtId="179" fontId="20" fillId="2" borderId="3" xfId="0" applyNumberFormat="1" applyFont="1" applyFill="1" applyBorder="1" applyAlignment="1">
      <alignment horizontal="right" vertical="center"/>
    </xf>
    <xf numFmtId="182" fontId="20" fillId="2" borderId="0" xfId="0" applyNumberFormat="1" applyFont="1" applyFill="1" applyBorder="1" applyAlignment="1">
      <alignment vertical="center"/>
    </xf>
    <xf numFmtId="182" fontId="40" fillId="0" borderId="0" xfId="0" applyNumberFormat="1" applyFont="1" applyFill="1" applyBorder="1" applyAlignment="1">
      <alignment horizontal="right" vertical="center"/>
    </xf>
    <xf numFmtId="0" fontId="45" fillId="0" borderId="0" xfId="0" applyFont="1" applyFill="1" applyAlignment="1">
      <alignment vertical="center" wrapText="1"/>
    </xf>
    <xf numFmtId="169" fontId="9" fillId="2" borderId="0" xfId="7" applyNumberFormat="1" applyFont="1" applyFill="1" applyAlignment="1">
      <alignment vertical="center"/>
    </xf>
    <xf numFmtId="3" fontId="34" fillId="0" borderId="0"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wrapText="1"/>
    </xf>
    <xf numFmtId="3" fontId="17" fillId="0" borderId="20" xfId="0" applyNumberFormat="1" applyFont="1" applyFill="1" applyBorder="1" applyAlignment="1">
      <alignment horizontal="right" vertical="center" wrapText="1"/>
    </xf>
    <xf numFmtId="169" fontId="17" fillId="0" borderId="0" xfId="0" applyNumberFormat="1" applyFont="1" applyFill="1" applyBorder="1" applyAlignment="1">
      <alignment horizontal="right" vertical="center" wrapText="1"/>
    </xf>
    <xf numFmtId="3" fontId="37" fillId="0" borderId="0" xfId="6" applyNumberFormat="1" applyFont="1" applyFill="1" applyBorder="1" applyAlignment="1">
      <alignment horizontal="right" vertical="center" wrapText="1"/>
    </xf>
    <xf numFmtId="3" fontId="17" fillId="0" borderId="0" xfId="6" applyNumberFormat="1" applyFont="1" applyFill="1" applyBorder="1" applyAlignment="1">
      <alignment horizontal="right" vertical="center" wrapText="1"/>
    </xf>
    <xf numFmtId="185" fontId="40" fillId="2" borderId="0" xfId="0" applyNumberFormat="1" applyFont="1" applyFill="1" applyBorder="1" applyAlignment="1">
      <alignment horizontal="right" vertical="center"/>
    </xf>
    <xf numFmtId="185" fontId="40" fillId="2" borderId="0" xfId="0" applyNumberFormat="1" applyFont="1" applyFill="1" applyBorder="1" applyAlignment="1">
      <alignment vertical="center"/>
    </xf>
    <xf numFmtId="181" fontId="28" fillId="2" borderId="0" xfId="8" applyNumberFormat="1" applyFont="1" applyFill="1" applyBorder="1" applyAlignment="1">
      <alignment horizontal="right" vertical="center"/>
    </xf>
    <xf numFmtId="181" fontId="9" fillId="2" borderId="0" xfId="0" applyNumberFormat="1" applyFont="1" applyFill="1" applyBorder="1" applyAlignment="1">
      <alignment vertical="center"/>
    </xf>
    <xf numFmtId="181" fontId="30" fillId="2" borderId="0" xfId="0" applyNumberFormat="1" applyFont="1" applyFill="1" applyBorder="1" applyAlignment="1">
      <alignment vertical="center"/>
    </xf>
    <xf numFmtId="3" fontId="37" fillId="0" borderId="0" xfId="0" applyNumberFormat="1" applyFont="1" applyFill="1" applyBorder="1" applyAlignment="1">
      <alignment horizontal="right" vertical="center" wrapText="1"/>
    </xf>
    <xf numFmtId="0" fontId="6" fillId="2" borderId="0" xfId="0" applyFont="1" applyFill="1" applyAlignment="1">
      <alignment vertical="center"/>
    </xf>
    <xf numFmtId="167" fontId="17" fillId="0" borderId="0" xfId="0" applyNumberFormat="1" applyFont="1" applyFill="1" applyBorder="1" applyAlignment="1">
      <alignment horizontal="right" vertical="center" wrapText="1"/>
    </xf>
    <xf numFmtId="0" fontId="0" fillId="0" borderId="0" xfId="0"/>
    <xf numFmtId="182" fontId="9" fillId="2" borderId="0" xfId="0" applyNumberFormat="1" applyFont="1" applyFill="1" applyBorder="1" applyAlignment="1">
      <alignment vertical="center"/>
    </xf>
    <xf numFmtId="182" fontId="22" fillId="2" borderId="0" xfId="0" applyNumberFormat="1" applyFont="1" applyFill="1" applyBorder="1" applyAlignment="1">
      <alignment horizontal="right" vertical="center"/>
    </xf>
    <xf numFmtId="182" fontId="9" fillId="0" borderId="0" xfId="0" applyNumberFormat="1" applyFont="1" applyFill="1" applyBorder="1" applyAlignment="1">
      <alignment vertical="center"/>
    </xf>
    <xf numFmtId="182" fontId="22" fillId="0" borderId="0" xfId="0" applyNumberFormat="1" applyFont="1" applyFill="1" applyBorder="1" applyAlignment="1">
      <alignment horizontal="right" vertical="center"/>
    </xf>
    <xf numFmtId="182" fontId="20" fillId="0" borderId="0" xfId="0" applyNumberFormat="1" applyFont="1" applyFill="1" applyBorder="1" applyAlignment="1">
      <alignment vertical="center"/>
    </xf>
    <xf numFmtId="3" fontId="46" fillId="2" borderId="0" xfId="0" applyNumberFormat="1" applyFont="1" applyFill="1" applyBorder="1" applyAlignment="1">
      <alignment horizontal="right" vertical="center" wrapText="1"/>
    </xf>
    <xf numFmtId="0" fontId="25" fillId="0" borderId="0" xfId="0" applyFont="1" applyFill="1" applyBorder="1" applyAlignment="1">
      <alignment vertical="center"/>
    </xf>
    <xf numFmtId="177" fontId="47" fillId="2" borderId="0" xfId="0" applyNumberFormat="1" applyFont="1" applyFill="1" applyBorder="1" applyAlignment="1">
      <alignment horizontal="right" vertical="center"/>
    </xf>
    <xf numFmtId="186" fontId="23" fillId="2" borderId="0" xfId="0" applyNumberFormat="1" applyFont="1" applyFill="1" applyBorder="1" applyAlignment="1">
      <alignment horizontal="right" vertical="center"/>
    </xf>
    <xf numFmtId="0" fontId="48" fillId="2" borderId="0" xfId="0" applyFont="1" applyFill="1"/>
    <xf numFmtId="0" fontId="28" fillId="2" borderId="0" xfId="0" applyFont="1" applyFill="1" applyAlignment="1">
      <alignment vertical="center"/>
    </xf>
    <xf numFmtId="0" fontId="28" fillId="2" borderId="0" xfId="0" applyFont="1" applyFill="1"/>
    <xf numFmtId="0" fontId="28" fillId="0" borderId="0" xfId="0" applyFont="1" applyAlignment="1">
      <alignment vertical="center"/>
    </xf>
    <xf numFmtId="171" fontId="9" fillId="2" borderId="3" xfId="0" applyNumberFormat="1" applyFont="1" applyFill="1" applyBorder="1" applyAlignment="1">
      <alignment horizontal="right" vertical="center"/>
    </xf>
    <xf numFmtId="177" fontId="9" fillId="2" borderId="3" xfId="0" applyNumberFormat="1" applyFont="1" applyFill="1" applyBorder="1" applyAlignment="1">
      <alignment horizontal="right" vertical="center"/>
    </xf>
    <xf numFmtId="171" fontId="40" fillId="2" borderId="3" xfId="0" applyNumberFormat="1" applyFont="1" applyFill="1" applyBorder="1" applyAlignment="1">
      <alignment horizontal="right" vertical="center"/>
    </xf>
    <xf numFmtId="0" fontId="28" fillId="0" borderId="3" xfId="0" applyFont="1" applyFill="1" applyBorder="1" applyAlignment="1">
      <alignment horizontal="left" vertical="center" wrapText="1"/>
    </xf>
    <xf numFmtId="177" fontId="28" fillId="0" borderId="0" xfId="0" applyNumberFormat="1" applyFont="1" applyFill="1" applyBorder="1" applyAlignment="1">
      <alignment horizontal="right" vertical="center"/>
    </xf>
    <xf numFmtId="177" fontId="28" fillId="0" borderId="3" xfId="0" applyNumberFormat="1" applyFont="1" applyFill="1" applyBorder="1" applyAlignment="1">
      <alignment horizontal="right" vertical="center"/>
    </xf>
    <xf numFmtId="177" fontId="28" fillId="2" borderId="0" xfId="0" applyNumberFormat="1" applyFont="1" applyFill="1" applyBorder="1" applyAlignment="1">
      <alignment horizontal="right" vertical="center"/>
    </xf>
    <xf numFmtId="177" fontId="28" fillId="2" borderId="3" xfId="0" applyNumberFormat="1" applyFont="1" applyFill="1" applyBorder="1" applyAlignment="1">
      <alignment horizontal="right" vertical="center"/>
    </xf>
    <xf numFmtId="0" fontId="28" fillId="0" borderId="0" xfId="0" applyFont="1"/>
    <xf numFmtId="0" fontId="28" fillId="2" borderId="3" xfId="0" applyFont="1" applyFill="1" applyBorder="1" applyAlignment="1">
      <alignment horizontal="left" vertical="center"/>
    </xf>
    <xf numFmtId="182" fontId="28" fillId="0" borderId="3" xfId="0" applyNumberFormat="1" applyFont="1" applyFill="1" applyBorder="1" applyAlignment="1">
      <alignment vertical="center"/>
    </xf>
    <xf numFmtId="0" fontId="27" fillId="2" borderId="0" xfId="0" applyFont="1" applyFill="1" applyAlignment="1">
      <alignment horizontal="left" vertical="top" wrapText="1"/>
    </xf>
    <xf numFmtId="185" fontId="24" fillId="2" borderId="17" xfId="0" applyNumberFormat="1" applyFont="1" applyFill="1" applyBorder="1" applyAlignment="1">
      <alignment vertical="center" wrapText="1"/>
    </xf>
    <xf numFmtId="185" fontId="24" fillId="2" borderId="17" xfId="0" applyNumberFormat="1" applyFont="1" applyFill="1" applyBorder="1" applyAlignment="1">
      <alignment wrapText="1"/>
    </xf>
    <xf numFmtId="185" fontId="24" fillId="2" borderId="17" xfId="0" applyNumberFormat="1" applyFont="1" applyFill="1" applyBorder="1" applyAlignment="1">
      <alignment horizontal="left" vertical="center" wrapText="1"/>
    </xf>
    <xf numFmtId="185" fontId="47" fillId="2" borderId="17" xfId="0" applyNumberFormat="1" applyFont="1" applyFill="1" applyBorder="1" applyAlignment="1">
      <alignment vertical="center" wrapText="1"/>
    </xf>
    <xf numFmtId="185" fontId="24" fillId="0" borderId="17" xfId="0" applyNumberFormat="1" applyFont="1" applyFill="1" applyBorder="1" applyAlignment="1">
      <alignment vertical="center" wrapText="1"/>
    </xf>
    <xf numFmtId="185" fontId="21" fillId="2" borderId="17" xfId="0" applyNumberFormat="1" applyFont="1" applyFill="1" applyBorder="1" applyAlignment="1">
      <alignment vertical="center"/>
    </xf>
    <xf numFmtId="0" fontId="9" fillId="2" borderId="0" xfId="0" applyFont="1" applyFill="1" applyAlignment="1">
      <alignment vertical="center" wrapText="1"/>
    </xf>
    <xf numFmtId="185" fontId="9" fillId="0" borderId="0" xfId="0" applyNumberFormat="1" applyFont="1" applyFill="1" applyAlignment="1">
      <alignment vertical="center"/>
    </xf>
    <xf numFmtId="185" fontId="9" fillId="0" borderId="0" xfId="0" applyNumberFormat="1" applyFont="1" applyFill="1" applyBorder="1" applyAlignment="1">
      <alignment horizontal="right" vertical="center"/>
    </xf>
    <xf numFmtId="185" fontId="9" fillId="0" borderId="0" xfId="0" applyNumberFormat="1" applyFont="1" applyFill="1" applyBorder="1" applyAlignment="1">
      <alignment vertical="center"/>
    </xf>
    <xf numFmtId="185" fontId="9" fillId="0" borderId="0" xfId="0" applyNumberFormat="1" applyFont="1" applyAlignment="1">
      <alignment vertical="center"/>
    </xf>
    <xf numFmtId="185" fontId="9" fillId="2" borderId="0" xfId="0" applyNumberFormat="1" applyFont="1" applyFill="1" applyAlignment="1">
      <alignment vertical="center"/>
    </xf>
    <xf numFmtId="185" fontId="9" fillId="2" borderId="0" xfId="0" applyNumberFormat="1" applyFont="1" applyFill="1" applyAlignment="1">
      <alignment horizontal="left" vertical="center" wrapText="1"/>
    </xf>
    <xf numFmtId="185" fontId="9" fillId="0" borderId="0" xfId="0" applyNumberFormat="1" applyFont="1" applyFill="1" applyAlignment="1">
      <alignment horizontal="left" vertical="center" wrapText="1"/>
    </xf>
    <xf numFmtId="0" fontId="27" fillId="2" borderId="0" xfId="0" applyFont="1" applyFill="1" applyAlignment="1">
      <alignment vertical="top" wrapText="1"/>
    </xf>
    <xf numFmtId="0" fontId="40" fillId="2" borderId="0" xfId="0" applyFont="1" applyFill="1" applyAlignment="1">
      <alignment horizontal="left" vertical="center"/>
    </xf>
    <xf numFmtId="0" fontId="24" fillId="2" borderId="17" xfId="0" applyFont="1" applyFill="1" applyBorder="1" applyAlignment="1">
      <alignment vertical="center"/>
    </xf>
    <xf numFmtId="0" fontId="40" fillId="2" borderId="17" xfId="0" applyFont="1" applyFill="1" applyBorder="1" applyAlignment="1">
      <alignment horizontal="left" vertical="center"/>
    </xf>
    <xf numFmtId="0" fontId="47" fillId="2" borderId="17" xfId="0" applyFont="1" applyFill="1" applyBorder="1" applyAlignment="1">
      <alignment vertical="center"/>
    </xf>
    <xf numFmtId="0" fontId="24" fillId="0" borderId="17" xfId="0" applyFont="1" applyFill="1" applyBorder="1" applyAlignment="1">
      <alignment vertical="center"/>
    </xf>
    <xf numFmtId="0" fontId="29" fillId="0" borderId="17" xfId="0" applyFont="1" applyFill="1" applyBorder="1" applyAlignment="1">
      <alignment horizontal="left" vertical="center" indent="3"/>
    </xf>
    <xf numFmtId="0" fontId="29" fillId="2" borderId="17" xfId="0" applyFont="1" applyFill="1" applyBorder="1" applyAlignment="1">
      <alignment horizontal="left" vertical="center" indent="3"/>
    </xf>
    <xf numFmtId="169" fontId="44" fillId="0" borderId="0" xfId="2" applyNumberFormat="1" applyFont="1" applyFill="1" applyBorder="1" applyAlignment="1">
      <alignment vertical="center" wrapText="1"/>
    </xf>
    <xf numFmtId="169" fontId="44" fillId="0" borderId="3" xfId="2" applyNumberFormat="1" applyFont="1" applyFill="1" applyBorder="1" applyAlignment="1">
      <alignment vertical="center" wrapText="1"/>
    </xf>
    <xf numFmtId="169" fontId="21" fillId="0" borderId="0" xfId="2" applyNumberFormat="1" applyFont="1" applyFill="1" applyBorder="1" applyAlignment="1">
      <alignment vertical="center" wrapText="1"/>
    </xf>
    <xf numFmtId="0" fontId="174" fillId="0" borderId="17" xfId="0" applyFont="1" applyFill="1" applyBorder="1" applyAlignment="1">
      <alignment vertical="center" wrapText="1"/>
    </xf>
    <xf numFmtId="0" fontId="9" fillId="0" borderId="0" xfId="0" applyFont="1" applyFill="1" applyAlignment="1">
      <alignment vertical="center" wrapText="1"/>
    </xf>
    <xf numFmtId="0" fontId="0" fillId="2" borderId="0" xfId="0" applyFill="1"/>
    <xf numFmtId="0" fontId="0" fillId="2" borderId="0" xfId="0" applyFont="1" applyFill="1"/>
    <xf numFmtId="10" fontId="178" fillId="0" borderId="0" xfId="0" applyNumberFormat="1" applyFont="1" applyFill="1" applyBorder="1" applyAlignment="1">
      <alignment horizontal="right" vertical="center" wrapText="1"/>
    </xf>
    <xf numFmtId="0" fontId="179" fillId="0" borderId="0" xfId="0" applyFont="1"/>
    <xf numFmtId="0" fontId="180" fillId="2" borderId="17" xfId="0" applyFont="1" applyFill="1" applyBorder="1" applyAlignment="1">
      <alignment vertical="center" wrapText="1"/>
    </xf>
    <xf numFmtId="3" fontId="170" fillId="0" borderId="0" xfId="0" applyNumberFormat="1" applyFont="1" applyFill="1" applyBorder="1" applyAlignment="1">
      <alignment horizontal="right" vertical="center" wrapText="1"/>
    </xf>
    <xf numFmtId="10" fontId="46" fillId="0" borderId="0" xfId="7" applyNumberFormat="1" applyFont="1" applyFill="1" applyBorder="1" applyAlignment="1">
      <alignment horizontal="right" vertical="center" wrapText="1"/>
    </xf>
    <xf numFmtId="10" fontId="46" fillId="2" borderId="0" xfId="7" applyNumberFormat="1" applyFont="1" applyFill="1" applyBorder="1" applyAlignment="1">
      <alignment horizontal="right" vertical="center" wrapText="1"/>
    </xf>
    <xf numFmtId="0" fontId="14" fillId="2" borderId="52" xfId="0" applyFont="1" applyFill="1" applyBorder="1" applyAlignment="1">
      <alignment vertical="center" wrapText="1"/>
    </xf>
    <xf numFmtId="3" fontId="46" fillId="2" borderId="32" xfId="7" applyNumberFormat="1" applyFont="1" applyFill="1" applyBorder="1" applyAlignment="1">
      <alignment horizontal="right" vertical="center" wrapText="1"/>
    </xf>
    <xf numFmtId="3" fontId="46" fillId="0" borderId="32" xfId="7" applyNumberFormat="1" applyFont="1" applyFill="1" applyBorder="1" applyAlignment="1">
      <alignment horizontal="right" vertical="center" wrapText="1"/>
    </xf>
    <xf numFmtId="3" fontId="46" fillId="0" borderId="32" xfId="0" applyNumberFormat="1" applyFont="1" applyFill="1" applyBorder="1" applyAlignment="1">
      <alignment horizontal="right" vertical="center" wrapText="1"/>
    </xf>
    <xf numFmtId="3" fontId="46" fillId="0" borderId="0" xfId="0" applyNumberFormat="1" applyFont="1" applyFill="1" applyBorder="1" applyAlignment="1">
      <alignment horizontal="right" vertical="center" wrapText="1"/>
    </xf>
    <xf numFmtId="3" fontId="178" fillId="0" borderId="0" xfId="0" applyNumberFormat="1" applyFont="1" applyFill="1" applyBorder="1" applyAlignment="1">
      <alignment vertical="center" wrapText="1"/>
    </xf>
    <xf numFmtId="3" fontId="0" fillId="0" borderId="0" xfId="0" applyNumberFormat="1" applyFill="1"/>
    <xf numFmtId="3" fontId="0" fillId="0" borderId="0" xfId="0" applyNumberFormat="1" applyFont="1" applyFill="1"/>
    <xf numFmtId="0" fontId="0" fillId="0" borderId="0" xfId="0" applyFill="1"/>
    <xf numFmtId="0" fontId="27" fillId="0" borderId="0" xfId="0" applyFont="1" applyFill="1" applyAlignment="1">
      <alignment horizontal="left" vertical="top" wrapText="1"/>
    </xf>
    <xf numFmtId="0" fontId="27" fillId="2" borderId="0" xfId="0" applyFont="1" applyFill="1" applyAlignment="1">
      <alignment horizontal="left" vertical="top"/>
    </xf>
    <xf numFmtId="0" fontId="0" fillId="2" borderId="0" xfId="0" applyFill="1" applyAlignment="1">
      <alignment wrapText="1"/>
    </xf>
    <xf numFmtId="0" fontId="182" fillId="2" borderId="0" xfId="0" applyFont="1" applyFill="1" applyAlignment="1">
      <alignment vertical="center"/>
    </xf>
    <xf numFmtId="0" fontId="12" fillId="0" borderId="16" xfId="0" applyFont="1" applyBorder="1" applyAlignment="1">
      <alignment vertical="center"/>
    </xf>
    <xf numFmtId="3" fontId="178" fillId="2" borderId="0" xfId="0" applyNumberFormat="1" applyFont="1" applyFill="1" applyBorder="1" applyAlignment="1">
      <alignment horizontal="right" vertical="center" wrapText="1"/>
    </xf>
    <xf numFmtId="3" fontId="178" fillId="0" borderId="0" xfId="0" applyNumberFormat="1" applyFont="1" applyFill="1" applyBorder="1" applyAlignment="1">
      <alignment horizontal="right" vertical="center" wrapText="1"/>
    </xf>
    <xf numFmtId="170" fontId="184" fillId="2" borderId="0" xfId="0" applyNumberFormat="1" applyFont="1" applyFill="1" applyBorder="1" applyAlignment="1">
      <alignment horizontal="right" vertical="center" wrapText="1"/>
    </xf>
    <xf numFmtId="170" fontId="178" fillId="2" borderId="0" xfId="0" applyNumberFormat="1" applyFont="1" applyFill="1" applyBorder="1" applyAlignment="1">
      <alignment horizontal="right" vertical="center" wrapText="1"/>
    </xf>
    <xf numFmtId="0" fontId="155" fillId="2" borderId="0" xfId="0" applyFont="1" applyFill="1" applyAlignment="1">
      <alignment vertical="center"/>
    </xf>
    <xf numFmtId="170" fontId="46" fillId="2" borderId="0" xfId="0" applyNumberFormat="1" applyFont="1" applyFill="1" applyBorder="1" applyAlignment="1">
      <alignment horizontal="right" vertical="center" wrapText="1"/>
    </xf>
    <xf numFmtId="0" fontId="0" fillId="2" borderId="0" xfId="0" applyFill="1" applyAlignment="1">
      <alignment vertical="center"/>
    </xf>
    <xf numFmtId="0" fontId="178" fillId="2" borderId="0" xfId="0" applyFont="1" applyFill="1" applyAlignment="1">
      <alignment vertical="center"/>
    </xf>
    <xf numFmtId="3" fontId="184" fillId="2" borderId="0" xfId="0" applyNumberFormat="1" applyFont="1" applyFill="1" applyBorder="1" applyAlignment="1">
      <alignment horizontal="right" vertical="center" wrapText="1"/>
    </xf>
    <xf numFmtId="0" fontId="155" fillId="2" borderId="0" xfId="0" applyFont="1" applyFill="1"/>
    <xf numFmtId="170" fontId="12" fillId="2" borderId="0" xfId="0" applyNumberFormat="1" applyFont="1" applyFill="1" applyAlignment="1">
      <alignment vertical="center"/>
    </xf>
    <xf numFmtId="0" fontId="27" fillId="2" borderId="17" xfId="0" applyFont="1" applyFill="1" applyBorder="1" applyAlignment="1">
      <alignment horizontal="left" vertical="center" wrapText="1" indent="4"/>
    </xf>
    <xf numFmtId="0" fontId="27" fillId="2" borderId="17" xfId="0" applyFont="1" applyFill="1" applyBorder="1" applyAlignment="1">
      <alignment horizontal="left" vertical="center" wrapText="1" indent="3"/>
    </xf>
    <xf numFmtId="0" fontId="27" fillId="2" borderId="0" xfId="0" applyFont="1" applyFill="1" applyBorder="1" applyAlignment="1">
      <alignment horizontal="left" vertical="center" wrapText="1" indent="3"/>
    </xf>
    <xf numFmtId="170" fontId="27" fillId="2" borderId="0" xfId="0" applyNumberFormat="1" applyFont="1" applyFill="1" applyAlignment="1">
      <alignment vertical="center"/>
    </xf>
    <xf numFmtId="170" fontId="45" fillId="3" borderId="9" xfId="0" applyNumberFormat="1" applyFont="1" applyFill="1" applyBorder="1" applyAlignment="1">
      <alignment horizontal="right" vertical="center"/>
    </xf>
    <xf numFmtId="0" fontId="27" fillId="2" borderId="0" xfId="0" applyFont="1" applyFill="1" applyAlignment="1">
      <alignment vertical="center"/>
    </xf>
    <xf numFmtId="0" fontId="27" fillId="0" borderId="0" xfId="0" applyFont="1" applyAlignment="1">
      <alignment vertical="center"/>
    </xf>
    <xf numFmtId="0" fontId="27" fillId="2" borderId="0" xfId="0" applyFont="1" applyFill="1" applyBorder="1" applyAlignment="1">
      <alignment horizontal="left" vertical="center" wrapText="1" indent="2"/>
    </xf>
    <xf numFmtId="170" fontId="16" fillId="2" borderId="0" xfId="0" applyNumberFormat="1" applyFont="1" applyFill="1" applyAlignment="1">
      <alignment vertical="center"/>
    </xf>
    <xf numFmtId="0" fontId="16" fillId="2" borderId="0" xfId="0" applyFont="1" applyFill="1" applyAlignment="1">
      <alignment vertical="center"/>
    </xf>
    <xf numFmtId="0" fontId="16" fillId="0" borderId="0" xfId="0" applyFont="1" applyAlignment="1">
      <alignment vertical="center"/>
    </xf>
    <xf numFmtId="0" fontId="27" fillId="2" borderId="17" xfId="0" applyFont="1" applyFill="1" applyBorder="1" applyAlignment="1">
      <alignment vertical="center" wrapText="1"/>
    </xf>
    <xf numFmtId="0" fontId="27" fillId="0" borderId="17" xfId="0" applyFont="1" applyFill="1" applyBorder="1" applyAlignment="1">
      <alignment vertical="center" wrapText="1"/>
    </xf>
    <xf numFmtId="0" fontId="27" fillId="0" borderId="0" xfId="0" applyFont="1" applyFill="1" applyBorder="1" applyAlignment="1">
      <alignment vertical="center" wrapText="1"/>
    </xf>
    <xf numFmtId="170" fontId="27" fillId="2" borderId="0" xfId="0" applyNumberFormat="1" applyFont="1" applyFill="1" applyBorder="1" applyAlignment="1">
      <alignment vertical="center"/>
    </xf>
    <xf numFmtId="184" fontId="27" fillId="2" borderId="0" xfId="0" applyNumberFormat="1" applyFont="1" applyFill="1" applyAlignment="1">
      <alignment vertical="center"/>
    </xf>
    <xf numFmtId="184" fontId="45" fillId="3" borderId="9" xfId="0" applyNumberFormat="1" applyFont="1" applyFill="1" applyBorder="1" applyAlignment="1">
      <alignment horizontal="right" vertical="center"/>
    </xf>
    <xf numFmtId="170" fontId="178" fillId="0" borderId="0" xfId="0" applyNumberFormat="1" applyFont="1" applyFill="1" applyBorder="1" applyAlignment="1">
      <alignment horizontal="right" vertical="center" wrapText="1"/>
    </xf>
    <xf numFmtId="170" fontId="46" fillId="0" borderId="0" xfId="0" applyNumberFormat="1" applyFont="1" applyFill="1" applyBorder="1" applyAlignment="1">
      <alignment horizontal="right" vertical="center" wrapText="1"/>
    </xf>
    <xf numFmtId="0" fontId="3" fillId="2" borderId="0" xfId="0" applyFont="1" applyFill="1"/>
    <xf numFmtId="0" fontId="3" fillId="0" borderId="0" xfId="0" applyFont="1"/>
    <xf numFmtId="0" fontId="3" fillId="2" borderId="0" xfId="0" applyFont="1" applyFill="1" applyAlignment="1">
      <alignment vertical="center"/>
    </xf>
    <xf numFmtId="169" fontId="60" fillId="0" borderId="0" xfId="0" applyNumberFormat="1" applyFont="1" applyFill="1"/>
    <xf numFmtId="0" fontId="46" fillId="0" borderId="0" xfId="0" applyFont="1" applyFill="1" applyAlignment="1">
      <alignment wrapText="1"/>
    </xf>
    <xf numFmtId="0" fontId="59" fillId="0" borderId="0" xfId="0" applyFont="1" applyFill="1" applyAlignment="1">
      <alignment vertical="center"/>
    </xf>
    <xf numFmtId="0" fontId="59" fillId="0" borderId="0" xfId="0" applyFont="1" applyFill="1" applyAlignment="1"/>
    <xf numFmtId="0" fontId="59" fillId="0" borderId="0" xfId="0" applyFont="1" applyFill="1"/>
    <xf numFmtId="170" fontId="46" fillId="0" borderId="0" xfId="0" applyNumberFormat="1" applyFont="1" applyFill="1"/>
    <xf numFmtId="170" fontId="59" fillId="0" borderId="0" xfId="0" applyNumberFormat="1" applyFont="1" applyFill="1"/>
    <xf numFmtId="170" fontId="62" fillId="0" borderId="0" xfId="0" applyNumberFormat="1" applyFont="1" applyFill="1"/>
    <xf numFmtId="0" fontId="17" fillId="2" borderId="17" xfId="0" applyFont="1" applyFill="1" applyBorder="1" applyAlignment="1">
      <alignment horizontal="left" vertical="center" wrapText="1" indent="4"/>
    </xf>
    <xf numFmtId="0" fontId="17" fillId="2" borderId="17" xfId="0" applyFont="1" applyFill="1" applyBorder="1" applyAlignment="1">
      <alignment horizontal="left" vertical="center" wrapText="1" indent="3"/>
    </xf>
    <xf numFmtId="0" fontId="17" fillId="2" borderId="0" xfId="0" applyFont="1" applyFill="1" applyBorder="1" applyAlignment="1">
      <alignment horizontal="left" vertical="center" wrapText="1" indent="3"/>
    </xf>
    <xf numFmtId="170" fontId="17" fillId="2" borderId="0" xfId="0" applyNumberFormat="1" applyFont="1" applyFill="1" applyBorder="1" applyAlignment="1">
      <alignment vertical="center"/>
    </xf>
    <xf numFmtId="170" fontId="17" fillId="2" borderId="0" xfId="0" applyNumberFormat="1" applyFont="1" applyFill="1"/>
    <xf numFmtId="0" fontId="17" fillId="2" borderId="0" xfId="0" applyFont="1" applyFill="1"/>
    <xf numFmtId="0" fontId="17" fillId="2" borderId="0" xfId="0" applyFont="1" applyFill="1" applyBorder="1" applyAlignment="1">
      <alignment horizontal="right" vertical="center" wrapText="1"/>
    </xf>
    <xf numFmtId="170" fontId="17" fillId="2" borderId="0" xfId="0" applyNumberFormat="1" applyFont="1" applyFill="1" applyBorder="1" applyAlignment="1">
      <alignment horizontal="right" vertical="center"/>
    </xf>
    <xf numFmtId="170" fontId="17" fillId="2" borderId="0" xfId="0" applyNumberFormat="1" applyFont="1" applyFill="1" applyAlignment="1">
      <alignment vertical="center"/>
    </xf>
    <xf numFmtId="0" fontId="17" fillId="2" borderId="0" xfId="0" applyFont="1" applyFill="1" applyAlignment="1">
      <alignment horizontal="left" vertical="top" wrapText="1"/>
    </xf>
    <xf numFmtId="0" fontId="9" fillId="2" borderId="3" xfId="0" applyFont="1" applyFill="1" applyBorder="1" applyAlignment="1">
      <alignment horizontal="left" vertical="center" wrapText="1"/>
    </xf>
    <xf numFmtId="0" fontId="40" fillId="2" borderId="0" xfId="0" applyFont="1" applyFill="1" applyAlignment="1">
      <alignment horizontal="left" vertical="top" wrapText="1"/>
    </xf>
    <xf numFmtId="0" fontId="40" fillId="2" borderId="0" xfId="0" applyFont="1" applyFill="1" applyAlignment="1">
      <alignment vertical="top" wrapText="1"/>
    </xf>
    <xf numFmtId="0" fontId="9" fillId="2" borderId="0" xfId="0" applyFont="1" applyFill="1" applyAlignment="1">
      <alignment vertical="top"/>
    </xf>
    <xf numFmtId="0" fontId="40" fillId="0" borderId="0" xfId="0" applyFont="1" applyFill="1" applyAlignment="1">
      <alignment horizontal="left" vertical="top" wrapText="1"/>
    </xf>
    <xf numFmtId="0" fontId="40" fillId="2" borderId="0" xfId="0" applyFont="1" applyFill="1" applyAlignment="1">
      <alignment vertical="top"/>
    </xf>
    <xf numFmtId="0" fontId="40" fillId="2" borderId="0" xfId="0" applyFont="1" applyFill="1" applyBorder="1" applyAlignment="1">
      <alignment vertical="top"/>
    </xf>
    <xf numFmtId="0" fontId="9" fillId="2" borderId="0" xfId="0" applyFont="1" applyFill="1" applyBorder="1" applyAlignment="1">
      <alignment vertical="top"/>
    </xf>
    <xf numFmtId="0" fontId="9" fillId="2" borderId="0" xfId="0" applyFont="1" applyFill="1" applyAlignment="1">
      <alignment horizontal="left" vertical="top" wrapText="1"/>
    </xf>
    <xf numFmtId="168" fontId="40" fillId="2" borderId="0" xfId="0" applyNumberFormat="1" applyFont="1" applyFill="1" applyBorder="1" applyAlignment="1">
      <alignment horizontal="left" vertical="top" wrapText="1"/>
    </xf>
    <xf numFmtId="168" fontId="9" fillId="2" borderId="0" xfId="0" applyNumberFormat="1" applyFont="1" applyFill="1" applyBorder="1" applyAlignment="1">
      <alignment horizontal="left" vertical="top" wrapText="1"/>
    </xf>
    <xf numFmtId="0" fontId="27" fillId="0" borderId="0" xfId="0" applyFont="1" applyFill="1" applyAlignment="1">
      <alignment vertical="top" wrapText="1"/>
    </xf>
    <xf numFmtId="3" fontId="46" fillId="0" borderId="55" xfId="0" applyNumberFormat="1" applyFont="1" applyFill="1" applyBorder="1" applyAlignment="1">
      <alignment horizontal="right" vertical="center" wrapText="1"/>
    </xf>
    <xf numFmtId="0" fontId="0" fillId="0" borderId="0" xfId="0" applyBorder="1"/>
    <xf numFmtId="49" fontId="188" fillId="0" borderId="0" xfId="0" applyNumberFormat="1" applyFont="1" applyBorder="1"/>
    <xf numFmtId="3" fontId="17" fillId="0" borderId="55" xfId="0" applyNumberFormat="1" applyFont="1" applyFill="1" applyBorder="1" applyAlignment="1">
      <alignment horizontal="right" vertical="center" wrapText="1"/>
    </xf>
    <xf numFmtId="170" fontId="46" fillId="2" borderId="55" xfId="0" applyNumberFormat="1" applyFont="1" applyFill="1" applyBorder="1" applyAlignment="1">
      <alignment horizontal="right" vertical="center" wrapText="1"/>
    </xf>
    <xf numFmtId="3" fontId="46" fillId="2" borderId="55" xfId="0" applyNumberFormat="1" applyFont="1" applyFill="1" applyBorder="1" applyAlignment="1">
      <alignment horizontal="right" vertical="center" wrapText="1"/>
    </xf>
    <xf numFmtId="0" fontId="1" fillId="0" borderId="0" xfId="0" applyFont="1"/>
    <xf numFmtId="0" fontId="180" fillId="2" borderId="17" xfId="0" applyFont="1" applyFill="1" applyBorder="1" applyAlignment="1">
      <alignment horizontal="left" vertical="center" wrapText="1" indent="2"/>
    </xf>
    <xf numFmtId="10" fontId="46" fillId="0" borderId="0" xfId="0" applyNumberFormat="1" applyFont="1" applyFill="1" applyBorder="1" applyAlignment="1">
      <alignment horizontal="right" vertical="center" wrapText="1"/>
    </xf>
    <xf numFmtId="0" fontId="180" fillId="2" borderId="17" xfId="0" applyFont="1" applyFill="1" applyBorder="1" applyAlignment="1">
      <alignment horizontal="left" vertical="center" wrapText="1" indent="3"/>
    </xf>
    <xf numFmtId="0" fontId="9" fillId="2" borderId="0" xfId="0" applyFont="1" applyFill="1" applyAlignment="1">
      <alignment horizontal="left" vertical="center" wrapText="1"/>
    </xf>
    <xf numFmtId="0" fontId="1" fillId="2" borderId="0" xfId="0" applyFont="1" applyFill="1"/>
    <xf numFmtId="0" fontId="1" fillId="2" borderId="0" xfId="0" applyFont="1" applyFill="1" applyAlignment="1">
      <alignment vertical="center"/>
    </xf>
    <xf numFmtId="0" fontId="1" fillId="2" borderId="0" xfId="0" applyFont="1" applyFill="1" applyBorder="1" applyAlignment="1">
      <alignment vertical="center" wrapText="1"/>
    </xf>
    <xf numFmtId="169" fontId="1" fillId="0" borderId="0" xfId="0" applyNumberFormat="1" applyFont="1" applyFill="1"/>
    <xf numFmtId="0" fontId="1" fillId="0" borderId="0" xfId="0" applyFont="1" applyFill="1"/>
    <xf numFmtId="170" fontId="1" fillId="0" borderId="0" xfId="0" applyNumberFormat="1" applyFont="1" applyFill="1" applyAlignment="1">
      <alignment vertical="center"/>
    </xf>
    <xf numFmtId="169" fontId="1" fillId="0" borderId="0" xfId="0" applyNumberFormat="1" applyFont="1" applyFill="1" applyAlignment="1">
      <alignment vertical="center"/>
    </xf>
    <xf numFmtId="0" fontId="1" fillId="0" borderId="0" xfId="0" applyFont="1" applyFill="1" applyAlignment="1">
      <alignment vertical="center"/>
    </xf>
    <xf numFmtId="170" fontId="1" fillId="0" borderId="0" xfId="0" applyNumberFormat="1" applyFont="1" applyFill="1"/>
    <xf numFmtId="0" fontId="1" fillId="0" borderId="0" xfId="0" quotePrefix="1" applyFont="1" applyFill="1"/>
    <xf numFmtId="0" fontId="1" fillId="0" borderId="17" xfId="0" applyFont="1" applyBorder="1" applyAlignment="1">
      <alignment vertical="center"/>
    </xf>
    <xf numFmtId="170" fontId="1" fillId="2" borderId="0" xfId="0" applyNumberFormat="1" applyFont="1" applyFill="1" applyAlignment="1">
      <alignment vertical="center"/>
    </xf>
    <xf numFmtId="0" fontId="1" fillId="0" borderId="18" xfId="0" applyFont="1" applyBorder="1" applyAlignment="1">
      <alignment vertical="center"/>
    </xf>
    <xf numFmtId="170" fontId="1" fillId="2" borderId="55" xfId="0" applyNumberFormat="1" applyFont="1" applyFill="1" applyBorder="1" applyAlignment="1">
      <alignment vertical="center"/>
    </xf>
    <xf numFmtId="3" fontId="1" fillId="2" borderId="0" xfId="0" applyNumberFormat="1" applyFont="1" applyFill="1" applyAlignment="1">
      <alignment vertical="center"/>
    </xf>
    <xf numFmtId="3" fontId="1" fillId="2" borderId="55" xfId="0" applyNumberFormat="1" applyFont="1" applyFill="1" applyBorder="1" applyAlignment="1">
      <alignment vertical="center"/>
    </xf>
    <xf numFmtId="10" fontId="0" fillId="0" borderId="0" xfId="0" applyNumberFormat="1" applyFill="1"/>
    <xf numFmtId="10" fontId="0" fillId="2" borderId="0" xfId="0" applyNumberFormat="1" applyFill="1"/>
    <xf numFmtId="3" fontId="1" fillId="0" borderId="0" xfId="0" applyNumberFormat="1" applyFont="1" applyFill="1" applyAlignment="1">
      <alignment vertical="center"/>
    </xf>
    <xf numFmtId="3" fontId="1" fillId="0" borderId="55" xfId="0" applyNumberFormat="1" applyFont="1" applyFill="1" applyBorder="1" applyAlignment="1">
      <alignment vertical="center"/>
    </xf>
    <xf numFmtId="0" fontId="24" fillId="2" borderId="17" xfId="0" applyFont="1" applyFill="1" applyBorder="1" applyAlignment="1">
      <alignment vertical="center" wrapText="1"/>
    </xf>
    <xf numFmtId="0" fontId="18" fillId="2" borderId="0" xfId="0" applyFont="1" applyFill="1" applyAlignment="1">
      <alignment vertical="center" wrapText="1"/>
    </xf>
    <xf numFmtId="0" fontId="9" fillId="0" borderId="17" xfId="0" applyFont="1" applyFill="1" applyBorder="1" applyAlignment="1">
      <alignment vertical="center" wrapText="1"/>
    </xf>
    <xf numFmtId="0" fontId="28" fillId="0" borderId="3" xfId="0" applyFont="1" applyFill="1" applyBorder="1" applyAlignment="1">
      <alignment vertical="center" wrapText="1"/>
    </xf>
    <xf numFmtId="0" fontId="28" fillId="0" borderId="17" xfId="0" applyFont="1" applyFill="1" applyBorder="1" applyAlignment="1">
      <alignment vertical="center" wrapText="1"/>
    </xf>
    <xf numFmtId="0" fontId="9" fillId="0" borderId="0" xfId="0" applyFont="1" applyAlignment="1">
      <alignment vertical="center" wrapText="1"/>
    </xf>
    <xf numFmtId="181" fontId="30" fillId="0" borderId="0" xfId="0" applyNumberFormat="1" applyFont="1" applyFill="1" applyBorder="1" applyAlignment="1">
      <alignment vertical="center"/>
    </xf>
    <xf numFmtId="181" fontId="30" fillId="0" borderId="0" xfId="0" applyNumberFormat="1" applyFont="1" applyFill="1" applyBorder="1" applyAlignment="1">
      <alignment horizontal="right" vertical="center"/>
    </xf>
    <xf numFmtId="0" fontId="44" fillId="77" borderId="6" xfId="0" applyFont="1" applyFill="1" applyBorder="1" applyAlignment="1">
      <alignment vertical="center" wrapText="1"/>
    </xf>
    <xf numFmtId="0" fontId="41" fillId="2" borderId="0" xfId="0" applyFont="1" applyFill="1" applyAlignment="1">
      <alignment horizontal="center" vertical="center"/>
    </xf>
    <xf numFmtId="170" fontId="174" fillId="80" borderId="9" xfId="0" applyNumberFormat="1" applyFont="1" applyFill="1" applyBorder="1" applyAlignment="1">
      <alignment vertical="center" wrapText="1"/>
    </xf>
    <xf numFmtId="182" fontId="174" fillId="80" borderId="9" xfId="0" applyNumberFormat="1" applyFont="1" applyFill="1" applyBorder="1" applyAlignment="1">
      <alignment vertical="center" wrapText="1"/>
    </xf>
    <xf numFmtId="182" fontId="44" fillId="80" borderId="9" xfId="0" applyNumberFormat="1" applyFont="1" applyFill="1" applyBorder="1" applyAlignment="1">
      <alignment vertical="center" wrapText="1"/>
    </xf>
    <xf numFmtId="170" fontId="43" fillId="80" borderId="9" xfId="0" applyNumberFormat="1" applyFont="1" applyFill="1" applyBorder="1" applyAlignment="1">
      <alignment vertical="center" wrapText="1"/>
    </xf>
    <xf numFmtId="170" fontId="195" fillId="80" borderId="9" xfId="0" applyNumberFormat="1" applyFont="1" applyFill="1" applyBorder="1" applyAlignment="1">
      <alignment vertical="center" wrapText="1"/>
    </xf>
    <xf numFmtId="170" fontId="43" fillId="80" borderId="0" xfId="0" applyNumberFormat="1" applyFont="1" applyFill="1" applyBorder="1" applyAlignment="1">
      <alignment vertical="center" wrapText="1"/>
    </xf>
    <xf numFmtId="170" fontId="195" fillId="80" borderId="0" xfId="0" applyNumberFormat="1" applyFont="1" applyFill="1" applyBorder="1" applyAlignment="1">
      <alignment vertical="center" wrapText="1"/>
    </xf>
    <xf numFmtId="182" fontId="195" fillId="80" borderId="9" xfId="0" applyNumberFormat="1" applyFont="1" applyFill="1" applyBorder="1" applyAlignment="1">
      <alignment vertical="center" wrapText="1"/>
    </xf>
    <xf numFmtId="0" fontId="193" fillId="75" borderId="4" xfId="0" applyFont="1" applyFill="1" applyBorder="1" applyAlignment="1">
      <alignment vertical="center" wrapText="1"/>
    </xf>
    <xf numFmtId="0" fontId="193" fillId="75" borderId="16" xfId="0" applyFont="1" applyFill="1" applyBorder="1" applyAlignment="1">
      <alignment vertical="center" wrapText="1"/>
    </xf>
    <xf numFmtId="0" fontId="193" fillId="75" borderId="5" xfId="0" applyFont="1" applyFill="1" applyBorder="1" applyAlignment="1">
      <alignment vertical="center" wrapText="1"/>
    </xf>
    <xf numFmtId="0" fontId="193" fillId="75" borderId="18" xfId="0" applyFont="1" applyFill="1" applyBorder="1" applyAlignment="1">
      <alignment vertical="center" wrapText="1"/>
    </xf>
    <xf numFmtId="0" fontId="9" fillId="0" borderId="9" xfId="0" applyFont="1" applyFill="1" applyBorder="1" applyAlignment="1">
      <alignment horizontal="left" vertical="center"/>
    </xf>
    <xf numFmtId="170" fontId="171" fillId="0" borderId="0" xfId="0" applyNumberFormat="1" applyFont="1" applyBorder="1" applyAlignment="1">
      <alignment horizontal="right" vertical="center"/>
    </xf>
    <xf numFmtId="173" fontId="9" fillId="2" borderId="9" xfId="0" applyNumberFormat="1" applyFont="1" applyFill="1" applyBorder="1" applyAlignment="1">
      <alignment horizontal="right" vertical="center"/>
    </xf>
    <xf numFmtId="173" fontId="9" fillId="2" borderId="9" xfId="0" applyNumberFormat="1" applyFont="1" applyFill="1" applyBorder="1" applyAlignment="1">
      <alignment vertical="center"/>
    </xf>
    <xf numFmtId="174" fontId="28" fillId="2" borderId="9" xfId="1" applyNumberFormat="1" applyFont="1" applyFill="1" applyBorder="1" applyAlignment="1">
      <alignment horizontal="right" vertical="center"/>
    </xf>
    <xf numFmtId="167" fontId="9" fillId="2" borderId="9" xfId="0" applyNumberFormat="1" applyFont="1" applyFill="1" applyBorder="1" applyAlignment="1">
      <alignment horizontal="right" vertical="center"/>
    </xf>
    <xf numFmtId="165" fontId="28" fillId="2" borderId="9" xfId="0" applyNumberFormat="1" applyFont="1" applyFill="1" applyBorder="1" applyAlignment="1">
      <alignment horizontal="right" vertical="center"/>
    </xf>
    <xf numFmtId="174" fontId="30" fillId="0" borderId="9" xfId="0" applyNumberFormat="1" applyFont="1" applyFill="1" applyBorder="1" applyAlignment="1">
      <alignment vertical="center"/>
    </xf>
    <xf numFmtId="174" fontId="30" fillId="2" borderId="9" xfId="0" applyNumberFormat="1" applyFont="1" applyFill="1" applyBorder="1" applyAlignment="1">
      <alignment vertical="center"/>
    </xf>
    <xf numFmtId="181" fontId="9" fillId="0" borderId="0" xfId="0" applyNumberFormat="1" applyFont="1" applyFill="1" applyBorder="1" applyAlignment="1">
      <alignment vertical="center"/>
    </xf>
    <xf numFmtId="181" fontId="9" fillId="0" borderId="9" xfId="0" applyNumberFormat="1" applyFont="1" applyFill="1" applyBorder="1" applyAlignment="1">
      <alignment vertical="center"/>
    </xf>
    <xf numFmtId="181" fontId="28" fillId="0" borderId="0"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182" fontId="30" fillId="0" borderId="9" xfId="0" applyNumberFormat="1" applyFont="1" applyFill="1" applyBorder="1" applyAlignment="1">
      <alignment vertical="center"/>
    </xf>
    <xf numFmtId="182" fontId="22" fillId="0" borderId="9" xfId="0" applyNumberFormat="1" applyFont="1" applyFill="1" applyBorder="1" applyAlignment="1">
      <alignment horizontal="right" vertical="center"/>
    </xf>
    <xf numFmtId="181" fontId="22" fillId="0" borderId="0" xfId="0" applyNumberFormat="1" applyFont="1" applyFill="1" applyBorder="1" applyAlignment="1">
      <alignment horizontal="right" vertical="center"/>
    </xf>
    <xf numFmtId="0" fontId="9" fillId="0" borderId="0" xfId="0" applyFont="1" applyFill="1" applyAlignment="1">
      <alignment vertical="top"/>
    </xf>
    <xf numFmtId="0" fontId="9" fillId="2" borderId="17" xfId="0" applyFont="1" applyFill="1" applyBorder="1" applyAlignment="1">
      <alignment horizontal="left" vertical="center"/>
    </xf>
    <xf numFmtId="0" fontId="185" fillId="0" borderId="0" xfId="0" applyFont="1" applyFill="1"/>
    <xf numFmtId="0" fontId="202" fillId="2" borderId="0" xfId="0" applyFont="1" applyFill="1"/>
    <xf numFmtId="165" fontId="28" fillId="0" borderId="9" xfId="0" applyNumberFormat="1" applyFont="1" applyFill="1" applyBorder="1" applyAlignment="1">
      <alignment horizontal="right" vertical="center"/>
    </xf>
    <xf numFmtId="165" fontId="28" fillId="0" borderId="0" xfId="0" applyNumberFormat="1" applyFont="1" applyFill="1" applyBorder="1" applyAlignment="1">
      <alignment horizontal="right" vertical="center"/>
    </xf>
    <xf numFmtId="165" fontId="28" fillId="0" borderId="3" xfId="0" applyNumberFormat="1" applyFont="1" applyFill="1" applyBorder="1" applyAlignment="1">
      <alignment horizontal="right" vertical="center"/>
    </xf>
    <xf numFmtId="173" fontId="9" fillId="0" borderId="9" xfId="0" applyNumberFormat="1" applyFont="1" applyFill="1" applyBorder="1" applyAlignment="1">
      <alignment vertical="center"/>
    </xf>
    <xf numFmtId="173" fontId="9" fillId="0" borderId="0" xfId="0" applyNumberFormat="1" applyFont="1" applyFill="1" applyBorder="1" applyAlignment="1">
      <alignment vertical="center"/>
    </xf>
    <xf numFmtId="170" fontId="9" fillId="0" borderId="0" xfId="0" applyNumberFormat="1" applyFont="1" applyFill="1" applyBorder="1" applyAlignment="1">
      <alignment horizontal="right" vertical="center"/>
    </xf>
    <xf numFmtId="170" fontId="9" fillId="0" borderId="9" xfId="0" applyNumberFormat="1" applyFont="1" applyFill="1" applyBorder="1" applyAlignment="1">
      <alignment vertical="center"/>
    </xf>
    <xf numFmtId="170" fontId="9" fillId="0" borderId="0" xfId="0" applyNumberFormat="1" applyFont="1" applyFill="1" applyBorder="1" applyAlignment="1">
      <alignment vertical="center"/>
    </xf>
    <xf numFmtId="167" fontId="9" fillId="0" borderId="9"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73" fontId="9" fillId="0" borderId="0" xfId="0" applyNumberFormat="1" applyFont="1" applyFill="1" applyBorder="1" applyAlignment="1">
      <alignment horizontal="right" vertical="center"/>
    </xf>
    <xf numFmtId="177" fontId="9" fillId="0" borderId="9" xfId="0" applyNumberFormat="1" applyFont="1" applyFill="1" applyBorder="1" applyAlignment="1">
      <alignment vertical="center"/>
    </xf>
    <xf numFmtId="167" fontId="9" fillId="0" borderId="9" xfId="0" applyNumberFormat="1" applyFont="1" applyFill="1" applyBorder="1" applyAlignment="1">
      <alignment vertical="center"/>
    </xf>
    <xf numFmtId="167" fontId="9" fillId="0" borderId="0" xfId="0" applyNumberFormat="1" applyFont="1" applyFill="1" applyBorder="1" applyAlignment="1">
      <alignment vertical="center"/>
    </xf>
    <xf numFmtId="175" fontId="9" fillId="0" borderId="9" xfId="0" applyNumberFormat="1" applyFont="1" applyFill="1" applyBorder="1" applyAlignment="1">
      <alignment vertical="center"/>
    </xf>
    <xf numFmtId="173" fontId="9" fillId="0" borderId="9" xfId="0" applyNumberFormat="1" applyFont="1" applyFill="1" applyBorder="1" applyAlignment="1">
      <alignment horizontal="right" vertical="center"/>
    </xf>
    <xf numFmtId="173" fontId="9" fillId="0" borderId="3" xfId="0" applyNumberFormat="1" applyFont="1" applyFill="1" applyBorder="1" applyAlignment="1">
      <alignment horizontal="right" vertical="center"/>
    </xf>
    <xf numFmtId="175" fontId="9" fillId="0" borderId="0" xfId="0" applyNumberFormat="1" applyFont="1" applyFill="1" applyBorder="1" applyAlignment="1">
      <alignment vertical="center"/>
    </xf>
    <xf numFmtId="174" fontId="28" fillId="0" borderId="9" xfId="1" applyNumberFormat="1" applyFont="1" applyFill="1" applyBorder="1" applyAlignment="1">
      <alignment horizontal="right" vertical="center"/>
    </xf>
    <xf numFmtId="174" fontId="28" fillId="0" borderId="0" xfId="1" applyNumberFormat="1" applyFont="1" applyFill="1" applyBorder="1" applyAlignment="1">
      <alignment horizontal="right" vertical="center"/>
    </xf>
    <xf numFmtId="174" fontId="28" fillId="0" borderId="3" xfId="1" applyNumberFormat="1" applyFont="1" applyFill="1" applyBorder="1" applyAlignment="1">
      <alignment horizontal="right" vertical="center"/>
    </xf>
    <xf numFmtId="167" fontId="9" fillId="0" borderId="3" xfId="0" applyNumberFormat="1" applyFont="1" applyFill="1" applyBorder="1" applyAlignment="1">
      <alignment horizontal="right" vertical="center"/>
    </xf>
    <xf numFmtId="175" fontId="30" fillId="0" borderId="9" xfId="0" applyNumberFormat="1" applyFont="1" applyFill="1" applyBorder="1" applyAlignment="1">
      <alignment vertical="center"/>
    </xf>
    <xf numFmtId="175" fontId="30" fillId="0" borderId="0" xfId="0" applyNumberFormat="1" applyFont="1" applyFill="1" applyBorder="1" applyAlignment="1">
      <alignment vertical="center"/>
    </xf>
    <xf numFmtId="170" fontId="30" fillId="0" borderId="0" xfId="0" applyNumberFormat="1" applyFont="1" applyFill="1" applyBorder="1" applyAlignment="1">
      <alignment vertical="center"/>
    </xf>
    <xf numFmtId="174" fontId="9" fillId="0" borderId="9" xfId="0" applyNumberFormat="1" applyFont="1" applyFill="1" applyBorder="1" applyAlignment="1">
      <alignment vertical="center"/>
    </xf>
    <xf numFmtId="174" fontId="9" fillId="0" borderId="0" xfId="0" applyNumberFormat="1" applyFont="1" applyFill="1" applyBorder="1" applyAlignment="1">
      <alignment vertical="center"/>
    </xf>
    <xf numFmtId="174" fontId="9" fillId="0" borderId="3" xfId="0" applyNumberFormat="1" applyFont="1" applyFill="1" applyBorder="1" applyAlignment="1">
      <alignment vertical="center"/>
    </xf>
    <xf numFmtId="174" fontId="30" fillId="0" borderId="3" xfId="0" applyNumberFormat="1" applyFont="1" applyFill="1" applyBorder="1" applyAlignment="1">
      <alignment vertical="center"/>
    </xf>
    <xf numFmtId="173" fontId="30" fillId="0" borderId="0" xfId="0" applyNumberFormat="1" applyFont="1" applyFill="1" applyBorder="1" applyAlignment="1">
      <alignment vertical="center"/>
    </xf>
    <xf numFmtId="165" fontId="32" fillId="0" borderId="0" xfId="0" applyNumberFormat="1" applyFont="1" applyFill="1" applyBorder="1" applyAlignment="1">
      <alignment horizontal="right" vertical="center"/>
    </xf>
    <xf numFmtId="184" fontId="9" fillId="2" borderId="9" xfId="0" applyNumberFormat="1" applyFont="1" applyFill="1" applyBorder="1" applyAlignment="1">
      <alignment horizontal="right" vertical="center"/>
    </xf>
    <xf numFmtId="182" fontId="9" fillId="0" borderId="0" xfId="0" applyNumberFormat="1" applyFont="1" applyFill="1" applyBorder="1" applyAlignment="1">
      <alignment horizontal="right" vertical="center"/>
    </xf>
    <xf numFmtId="182" fontId="9" fillId="0" borderId="9" xfId="0" applyNumberFormat="1" applyFont="1" applyFill="1" applyBorder="1" applyAlignment="1">
      <alignment horizontal="right" vertical="center"/>
    </xf>
    <xf numFmtId="182" fontId="28" fillId="0" borderId="0" xfId="0" applyNumberFormat="1" applyFont="1" applyFill="1" applyBorder="1" applyAlignment="1">
      <alignment vertical="center"/>
    </xf>
    <xf numFmtId="182" fontId="28" fillId="0" borderId="9" xfId="0" applyNumberFormat="1" applyFont="1" applyFill="1" applyBorder="1" applyAlignment="1">
      <alignment vertical="center"/>
    </xf>
    <xf numFmtId="183" fontId="28" fillId="0" borderId="0" xfId="0" applyNumberFormat="1" applyFont="1" applyFill="1" applyAlignment="1">
      <alignment vertical="center"/>
    </xf>
    <xf numFmtId="182" fontId="28" fillId="0" borderId="0" xfId="0" applyNumberFormat="1" applyFont="1" applyFill="1" applyAlignment="1">
      <alignment vertical="center"/>
    </xf>
    <xf numFmtId="0" fontId="28" fillId="0" borderId="0" xfId="0" applyFont="1" applyFill="1" applyAlignment="1">
      <alignment vertical="center"/>
    </xf>
    <xf numFmtId="0" fontId="171" fillId="0" borderId="0" xfId="0" applyFont="1" applyFill="1"/>
    <xf numFmtId="183" fontId="28" fillId="0" borderId="0" xfId="0" applyNumberFormat="1" applyFont="1" applyFill="1" applyBorder="1" applyAlignment="1">
      <alignment vertical="center"/>
    </xf>
    <xf numFmtId="183" fontId="28" fillId="0" borderId="9" xfId="0" applyNumberFormat="1" applyFont="1" applyFill="1" applyBorder="1" applyAlignment="1">
      <alignment vertical="center"/>
    </xf>
    <xf numFmtId="183" fontId="28" fillId="0" borderId="3" xfId="0" applyNumberFormat="1" applyFont="1" applyFill="1" applyBorder="1" applyAlignment="1">
      <alignment vertical="center"/>
    </xf>
    <xf numFmtId="182" fontId="32" fillId="0" borderId="0" xfId="0" applyNumberFormat="1" applyFont="1" applyFill="1" applyBorder="1" applyAlignment="1">
      <alignment horizontal="right" vertical="center"/>
    </xf>
    <xf numFmtId="183" fontId="9" fillId="0" borderId="55" xfId="0" applyNumberFormat="1" applyFont="1" applyFill="1" applyBorder="1" applyAlignment="1">
      <alignment vertical="center"/>
    </xf>
    <xf numFmtId="0" fontId="20" fillId="0" borderId="11" xfId="0" applyFont="1" applyFill="1" applyBorder="1" applyAlignment="1">
      <alignment vertical="center" wrapText="1"/>
    </xf>
    <xf numFmtId="0" fontId="20" fillId="0" borderId="54" xfId="0" applyFont="1" applyFill="1" applyBorder="1" applyAlignment="1">
      <alignment vertical="center" wrapText="1"/>
    </xf>
    <xf numFmtId="182" fontId="20" fillId="0" borderId="2" xfId="0" applyNumberFormat="1" applyFont="1" applyFill="1" applyBorder="1" applyAlignment="1">
      <alignment vertical="center"/>
    </xf>
    <xf numFmtId="182" fontId="20" fillId="0" borderId="12" xfId="0" applyNumberFormat="1" applyFont="1" applyFill="1" applyBorder="1" applyAlignment="1">
      <alignment vertical="center"/>
    </xf>
    <xf numFmtId="182" fontId="20" fillId="0" borderId="11" xfId="0" applyNumberFormat="1" applyFont="1" applyFill="1" applyBorder="1" applyAlignment="1">
      <alignment vertical="center"/>
    </xf>
    <xf numFmtId="170" fontId="9" fillId="0" borderId="0" xfId="0" applyNumberFormat="1" applyFont="1" applyFill="1" applyAlignment="1">
      <alignment vertical="center"/>
    </xf>
    <xf numFmtId="0" fontId="76" fillId="0" borderId="0" xfId="0" applyFont="1" applyFill="1" applyAlignment="1">
      <alignment vertical="center"/>
    </xf>
    <xf numFmtId="0" fontId="6" fillId="0" borderId="0" xfId="0" applyFont="1" applyFill="1" applyAlignment="1">
      <alignment vertical="center"/>
    </xf>
    <xf numFmtId="3" fontId="17" fillId="0" borderId="3" xfId="0" applyNumberFormat="1" applyFont="1" applyFill="1" applyBorder="1" applyAlignment="1">
      <alignment horizontal="right" vertical="center" wrapText="1"/>
    </xf>
    <xf numFmtId="3" fontId="6" fillId="0" borderId="0" xfId="0" applyNumberFormat="1" applyFont="1" applyFill="1" applyAlignment="1">
      <alignment vertical="center"/>
    </xf>
    <xf numFmtId="0" fontId="35" fillId="0" borderId="3" xfId="0" applyFont="1" applyFill="1" applyBorder="1" applyAlignment="1">
      <alignment horizontal="left" vertical="center" wrapText="1" indent="1"/>
    </xf>
    <xf numFmtId="3" fontId="27" fillId="0" borderId="0" xfId="0" applyNumberFormat="1" applyFont="1" applyFill="1" applyBorder="1" applyAlignment="1">
      <alignment horizontal="right" vertical="center" wrapText="1"/>
    </xf>
    <xf numFmtId="0" fontId="36" fillId="0" borderId="3" xfId="0" applyFont="1" applyFill="1" applyBorder="1" applyAlignment="1">
      <alignment horizontal="left" vertical="center" wrapText="1" indent="3"/>
    </xf>
    <xf numFmtId="3" fontId="37" fillId="0" borderId="3" xfId="0"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wrapText="1"/>
    </xf>
    <xf numFmtId="170" fontId="27" fillId="0" borderId="0" xfId="0" applyNumberFormat="1" applyFont="1" applyFill="1" applyBorder="1" applyAlignment="1">
      <alignment horizontal="right" vertical="center" wrapText="1"/>
    </xf>
    <xf numFmtId="0" fontId="35" fillId="0" borderId="17" xfId="0" applyFont="1" applyFill="1" applyBorder="1" applyAlignment="1">
      <alignment horizontal="left" vertical="center"/>
    </xf>
    <xf numFmtId="167" fontId="17" fillId="0" borderId="3" xfId="0" applyNumberFormat="1" applyFont="1" applyFill="1" applyBorder="1" applyAlignment="1">
      <alignment horizontal="right" vertical="center" wrapText="1"/>
    </xf>
    <xf numFmtId="3" fontId="6" fillId="0" borderId="0" xfId="0" applyNumberFormat="1" applyFont="1" applyFill="1" applyBorder="1" applyAlignment="1">
      <alignment vertical="center"/>
    </xf>
    <xf numFmtId="0" fontId="35" fillId="0" borderId="3" xfId="0" applyFont="1" applyFill="1" applyBorder="1" applyAlignment="1">
      <alignment horizontal="left" vertical="center" wrapText="1"/>
    </xf>
    <xf numFmtId="169" fontId="17" fillId="0" borderId="3" xfId="0" applyNumberFormat="1" applyFont="1" applyFill="1" applyBorder="1" applyAlignment="1">
      <alignment horizontal="right" vertical="center" wrapText="1"/>
    </xf>
    <xf numFmtId="169" fontId="27" fillId="0" borderId="0" xfId="0" applyNumberFormat="1" applyFont="1" applyFill="1" applyBorder="1" applyAlignment="1">
      <alignment horizontal="right" vertical="center" wrapText="1"/>
    </xf>
    <xf numFmtId="3" fontId="37" fillId="0" borderId="3" xfId="6" applyNumberFormat="1" applyFont="1" applyFill="1" applyBorder="1" applyAlignment="1">
      <alignment horizontal="right" vertical="center" wrapText="1"/>
    </xf>
    <xf numFmtId="3" fontId="17" fillId="0" borderId="3" xfId="6" applyNumberFormat="1" applyFont="1" applyFill="1" applyBorder="1" applyAlignment="1">
      <alignment horizontal="right" vertical="center" wrapText="1"/>
    </xf>
    <xf numFmtId="3" fontId="17" fillId="0" borderId="5" xfId="0" applyNumberFormat="1" applyFont="1" applyFill="1" applyBorder="1" applyAlignment="1">
      <alignment horizontal="right" vertical="center" wrapText="1"/>
    </xf>
    <xf numFmtId="3" fontId="27" fillId="0" borderId="55" xfId="0" applyNumberFormat="1" applyFont="1" applyFill="1" applyBorder="1" applyAlignment="1">
      <alignment horizontal="right" vertical="center" wrapText="1"/>
    </xf>
    <xf numFmtId="0" fontId="6" fillId="0" borderId="0" xfId="0" applyFont="1" applyFill="1" applyBorder="1" applyAlignment="1">
      <alignment horizontal="left" vertical="top" wrapText="1"/>
    </xf>
    <xf numFmtId="0" fontId="6" fillId="0" borderId="0" xfId="0" applyFont="1" applyFill="1" applyAlignment="1">
      <alignment vertical="top"/>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center" wrapText="1"/>
    </xf>
    <xf numFmtId="0" fontId="193" fillId="75" borderId="5" xfId="0" applyFont="1" applyFill="1" applyBorder="1" applyAlignment="1">
      <alignment horizontal="center" vertical="center"/>
    </xf>
    <xf numFmtId="0" fontId="193" fillId="75" borderId="56" xfId="0" applyFont="1" applyFill="1" applyBorder="1" applyAlignment="1">
      <alignment horizontal="center" vertical="center"/>
    </xf>
    <xf numFmtId="0" fontId="206" fillId="0" borderId="0" xfId="0" applyFont="1" applyFill="1" applyAlignment="1">
      <alignment vertical="center"/>
    </xf>
    <xf numFmtId="177" fontId="20" fillId="77" borderId="6" xfId="0" applyNumberFormat="1" applyFont="1" applyFill="1" applyBorder="1" applyAlignment="1">
      <alignment horizontal="right" vertical="center"/>
    </xf>
    <xf numFmtId="177" fontId="20" fillId="77" borderId="7" xfId="0" applyNumberFormat="1" applyFont="1" applyFill="1" applyBorder="1" applyAlignment="1">
      <alignment horizontal="right" vertical="center"/>
    </xf>
    <xf numFmtId="170" fontId="44" fillId="80" borderId="8" xfId="0" applyNumberFormat="1" applyFont="1" applyFill="1" applyBorder="1" applyAlignment="1">
      <alignment horizontal="right" vertical="center" wrapText="1"/>
    </xf>
    <xf numFmtId="170" fontId="195" fillId="80" borderId="9" xfId="0" applyNumberFormat="1" applyFont="1" applyFill="1" applyBorder="1" applyAlignment="1">
      <alignment horizontal="right" vertical="center" wrapText="1"/>
    </xf>
    <xf numFmtId="213" fontId="20" fillId="77" borderId="6" xfId="0" applyNumberFormat="1" applyFont="1" applyFill="1" applyBorder="1" applyAlignment="1">
      <alignment horizontal="right" vertical="center"/>
    </xf>
    <xf numFmtId="213" fontId="20" fillId="77" borderId="7" xfId="0" applyNumberFormat="1" applyFont="1" applyFill="1" applyBorder="1" applyAlignment="1">
      <alignment horizontal="right" vertical="center"/>
    </xf>
    <xf numFmtId="213" fontId="44" fillId="80" borderId="8" xfId="0" applyNumberFormat="1" applyFont="1" applyFill="1" applyBorder="1" applyAlignment="1">
      <alignment horizontal="right" vertical="center" wrapText="1"/>
    </xf>
    <xf numFmtId="169" fontId="195" fillId="80" borderId="9" xfId="0" applyNumberFormat="1" applyFont="1" applyFill="1" applyBorder="1" applyAlignment="1">
      <alignment horizontal="right" vertical="center" wrapText="1"/>
    </xf>
    <xf numFmtId="166" fontId="195" fillId="80" borderId="9" xfId="0" applyNumberFormat="1" applyFont="1" applyFill="1" applyBorder="1" applyAlignment="1">
      <alignment horizontal="right" vertical="center" wrapText="1"/>
    </xf>
    <xf numFmtId="0" fontId="15" fillId="0" borderId="58" xfId="0" applyFont="1" applyFill="1" applyBorder="1" applyAlignment="1">
      <alignment horizontal="left" vertical="center" wrapText="1"/>
    </xf>
    <xf numFmtId="0" fontId="15" fillId="0" borderId="58" xfId="0" applyFont="1" applyFill="1" applyBorder="1" applyAlignment="1">
      <alignment horizontal="left" vertical="center"/>
    </xf>
    <xf numFmtId="3" fontId="34" fillId="0" borderId="58" xfId="0" applyNumberFormat="1" applyFont="1" applyFill="1" applyBorder="1" applyAlignment="1">
      <alignment horizontal="right" vertical="center" wrapText="1"/>
    </xf>
    <xf numFmtId="3" fontId="34" fillId="0" borderId="59" xfId="0" applyNumberFormat="1" applyFont="1" applyFill="1" applyBorder="1" applyAlignment="1">
      <alignment horizontal="right" vertical="center" wrapText="1"/>
    </xf>
    <xf numFmtId="170" fontId="207" fillId="80" borderId="60" xfId="0" applyNumberFormat="1" applyFont="1" applyFill="1" applyBorder="1" applyAlignment="1">
      <alignment horizontal="right" vertical="center" wrapText="1"/>
    </xf>
    <xf numFmtId="170" fontId="34" fillId="0" borderId="58" xfId="0" applyNumberFormat="1" applyFont="1" applyFill="1" applyBorder="1" applyAlignment="1">
      <alignment horizontal="right" vertical="center" wrapText="1"/>
    </xf>
    <xf numFmtId="170" fontId="34" fillId="0" borderId="59" xfId="0" applyNumberFormat="1" applyFont="1" applyFill="1" applyBorder="1" applyAlignment="1">
      <alignment horizontal="right" vertical="center" wrapText="1"/>
    </xf>
    <xf numFmtId="170" fontId="15" fillId="0" borderId="58" xfId="0" applyNumberFormat="1" applyFont="1" applyFill="1" applyBorder="1" applyAlignment="1">
      <alignment horizontal="left" vertical="center" wrapText="1"/>
    </xf>
    <xf numFmtId="170" fontId="15" fillId="0" borderId="58" xfId="0" applyNumberFormat="1" applyFont="1" applyFill="1" applyBorder="1" applyAlignment="1">
      <alignment horizontal="left" vertical="center"/>
    </xf>
    <xf numFmtId="170" fontId="6" fillId="0" borderId="0" xfId="0" applyNumberFormat="1" applyFont="1" applyFill="1" applyAlignment="1">
      <alignment vertical="center"/>
    </xf>
    <xf numFmtId="3" fontId="195" fillId="80" borderId="9" xfId="0" applyNumberFormat="1" applyFont="1" applyFill="1" applyBorder="1" applyAlignment="1">
      <alignment horizontal="right" vertical="center" wrapText="1"/>
    </xf>
    <xf numFmtId="3" fontId="207" fillId="80" borderId="60" xfId="0" applyNumberFormat="1" applyFont="1" applyFill="1" applyBorder="1" applyAlignment="1">
      <alignment horizontal="right" vertical="center" wrapText="1"/>
    </xf>
    <xf numFmtId="3" fontId="205" fillId="81" borderId="3" xfId="0" applyNumberFormat="1" applyFont="1" applyFill="1" applyBorder="1" applyAlignment="1">
      <alignment horizontal="right" vertical="center" wrapText="1"/>
    </xf>
    <xf numFmtId="3" fontId="205" fillId="81" borderId="0" xfId="0" applyNumberFormat="1" applyFont="1" applyFill="1" applyBorder="1" applyAlignment="1">
      <alignment horizontal="right" vertical="center" wrapText="1"/>
    </xf>
    <xf numFmtId="170" fontId="44" fillId="82" borderId="51" xfId="0" applyNumberFormat="1" applyFont="1" applyFill="1" applyBorder="1" applyAlignment="1">
      <alignment horizontal="right" vertical="center" wrapText="1"/>
    </xf>
    <xf numFmtId="3" fontId="205" fillId="81" borderId="4" xfId="0" applyNumberFormat="1" applyFont="1" applyFill="1" applyBorder="1" applyAlignment="1">
      <alignment horizontal="right" vertical="center" wrapText="1"/>
    </xf>
    <xf numFmtId="169" fontId="205" fillId="81" borderId="3" xfId="6" applyNumberFormat="1" applyFont="1" applyFill="1" applyBorder="1" applyAlignment="1">
      <alignment horizontal="right" vertical="center" wrapText="1"/>
    </xf>
    <xf numFmtId="169" fontId="205" fillId="81" borderId="0" xfId="6" applyNumberFormat="1" applyFont="1" applyFill="1" applyBorder="1" applyAlignment="1">
      <alignment horizontal="right" vertical="center" wrapText="1"/>
    </xf>
    <xf numFmtId="0" fontId="15" fillId="0" borderId="61" xfId="0" applyFont="1" applyFill="1" applyBorder="1" applyAlignment="1">
      <alignment horizontal="left" vertical="center" wrapText="1"/>
    </xf>
    <xf numFmtId="0" fontId="15" fillId="0" borderId="61" xfId="0" applyFont="1" applyFill="1" applyBorder="1" applyAlignment="1">
      <alignment horizontal="left" vertical="center"/>
    </xf>
    <xf numFmtId="3" fontId="34" fillId="0" borderId="61" xfId="0" applyNumberFormat="1" applyFont="1" applyFill="1" applyBorder="1" applyAlignment="1">
      <alignment horizontal="right" vertical="center" wrapText="1"/>
    </xf>
    <xf numFmtId="3" fontId="34" fillId="0" borderId="62" xfId="0" applyNumberFormat="1" applyFont="1" applyFill="1" applyBorder="1" applyAlignment="1">
      <alignment horizontal="right" vertical="center" wrapText="1"/>
    </xf>
    <xf numFmtId="3" fontId="207" fillId="80" borderId="63" xfId="0" applyNumberFormat="1" applyFont="1" applyFill="1" applyBorder="1" applyAlignment="1">
      <alignment horizontal="right" vertical="center" wrapText="1"/>
    </xf>
    <xf numFmtId="0" fontId="193" fillId="75" borderId="3" xfId="0" applyFont="1" applyFill="1" applyBorder="1" applyAlignment="1">
      <alignment vertical="center" wrapText="1"/>
    </xf>
    <xf numFmtId="170" fontId="44" fillId="82" borderId="9" xfId="0" applyNumberFormat="1" applyFont="1" applyFill="1" applyBorder="1" applyAlignment="1">
      <alignment horizontal="right" vertical="center" wrapText="1"/>
    </xf>
    <xf numFmtId="0" fontId="206" fillId="0" borderId="0" xfId="0" applyFont="1" applyFill="1" applyBorder="1" applyAlignment="1">
      <alignment vertical="center"/>
    </xf>
    <xf numFmtId="2" fontId="17" fillId="0" borderId="3" xfId="0" applyNumberFormat="1" applyFont="1" applyFill="1" applyBorder="1" applyAlignment="1">
      <alignment horizontal="right" vertical="center" wrapText="1"/>
    </xf>
    <xf numFmtId="2" fontId="17" fillId="0" borderId="0" xfId="0" applyNumberFormat="1" applyFont="1" applyFill="1" applyBorder="1" applyAlignment="1">
      <alignment horizontal="right" vertical="center" wrapText="1"/>
    </xf>
    <xf numFmtId="4" fontId="27" fillId="0" borderId="0" xfId="0" applyNumberFormat="1" applyFont="1" applyFill="1" applyBorder="1" applyAlignment="1">
      <alignment horizontal="right" vertical="center" wrapText="1"/>
    </xf>
    <xf numFmtId="3" fontId="34" fillId="0" borderId="64" xfId="0" applyNumberFormat="1" applyFont="1" applyFill="1" applyBorder="1" applyAlignment="1">
      <alignment horizontal="right" vertical="center" wrapText="1"/>
    </xf>
    <xf numFmtId="3" fontId="34" fillId="0" borderId="65" xfId="0" applyNumberFormat="1" applyFont="1" applyFill="1" applyBorder="1" applyAlignment="1">
      <alignment horizontal="right" vertical="center" wrapText="1"/>
    </xf>
    <xf numFmtId="170" fontId="207" fillId="80" borderId="66" xfId="0" applyNumberFormat="1" applyFont="1" applyFill="1" applyBorder="1" applyAlignment="1">
      <alignment horizontal="right" vertical="center" wrapText="1"/>
    </xf>
    <xf numFmtId="3" fontId="208" fillId="80" borderId="9" xfId="0" applyNumberFormat="1" applyFont="1" applyFill="1" applyBorder="1" applyAlignment="1">
      <alignment horizontal="right" vertical="center" wrapText="1"/>
    </xf>
    <xf numFmtId="3" fontId="44" fillId="80" borderId="8" xfId="0" applyNumberFormat="1" applyFont="1" applyFill="1" applyBorder="1" applyAlignment="1">
      <alignment horizontal="right" vertical="center" wrapText="1"/>
    </xf>
    <xf numFmtId="3" fontId="207" fillId="80" borderId="66" xfId="0" applyNumberFormat="1" applyFont="1" applyFill="1" applyBorder="1" applyAlignment="1">
      <alignment horizontal="right" vertical="center" wrapText="1"/>
    </xf>
    <xf numFmtId="3" fontId="35" fillId="0" borderId="3" xfId="0" applyNumberFormat="1" applyFont="1" applyFill="1" applyBorder="1" applyAlignment="1">
      <alignment horizontal="left" vertical="center" wrapText="1" indent="1"/>
    </xf>
    <xf numFmtId="3" fontId="35" fillId="0" borderId="5" xfId="0" applyNumberFormat="1" applyFont="1" applyFill="1" applyBorder="1" applyAlignment="1">
      <alignment horizontal="left" vertical="center" wrapText="1" indent="1"/>
    </xf>
    <xf numFmtId="3" fontId="195" fillId="80" borderId="14" xfId="0" applyNumberFormat="1" applyFont="1" applyFill="1" applyBorder="1" applyAlignment="1">
      <alignment horizontal="right" vertical="center" wrapText="1"/>
    </xf>
    <xf numFmtId="3" fontId="15" fillId="0" borderId="58" xfId="0" applyNumberFormat="1" applyFont="1" applyFill="1" applyBorder="1" applyAlignment="1">
      <alignment horizontal="left" vertical="center" wrapText="1"/>
    </xf>
    <xf numFmtId="3" fontId="15" fillId="0" borderId="58" xfId="0" applyNumberFormat="1" applyFont="1" applyFill="1" applyBorder="1" applyAlignment="1">
      <alignment horizontal="left" vertical="center"/>
    </xf>
    <xf numFmtId="0" fontId="209" fillId="0" borderId="0" xfId="0" applyFont="1" applyFill="1" applyBorder="1" applyAlignment="1">
      <alignment vertical="center"/>
    </xf>
    <xf numFmtId="0" fontId="209" fillId="0" borderId="0" xfId="0" applyFont="1" applyBorder="1" applyAlignment="1">
      <alignment vertical="center"/>
    </xf>
    <xf numFmtId="0" fontId="209" fillId="0" borderId="0" xfId="0" applyFont="1" applyAlignment="1">
      <alignment vertical="center"/>
    </xf>
    <xf numFmtId="0" fontId="193" fillId="75" borderId="10" xfId="0" applyFont="1" applyFill="1" applyBorder="1" applyAlignment="1">
      <alignment horizontal="center" vertical="center"/>
    </xf>
    <xf numFmtId="0" fontId="193" fillId="75" borderId="0" xfId="0" applyFont="1" applyFill="1" applyBorder="1" applyAlignment="1">
      <alignment horizontal="center" vertical="center"/>
    </xf>
    <xf numFmtId="0" fontId="0" fillId="0" borderId="0" xfId="0" applyFill="1" applyAlignment="1">
      <alignment horizontal="right"/>
    </xf>
    <xf numFmtId="0" fontId="39" fillId="0" borderId="5" xfId="0" applyFont="1" applyFill="1" applyBorder="1" applyAlignment="1">
      <alignment horizontal="right" vertical="center"/>
    </xf>
    <xf numFmtId="0" fontId="39" fillId="0" borderId="7" xfId="0" applyFont="1" applyFill="1" applyBorder="1" applyAlignment="1">
      <alignment horizontal="right" vertical="center"/>
    </xf>
    <xf numFmtId="0" fontId="13" fillId="0" borderId="0" xfId="0" applyFont="1" applyFill="1" applyAlignment="1">
      <alignment vertical="center"/>
    </xf>
    <xf numFmtId="0" fontId="59" fillId="0" borderId="15" xfId="0" applyFont="1" applyFill="1" applyBorder="1" applyAlignment="1">
      <alignment horizontal="left" vertical="center" wrapText="1"/>
    </xf>
    <xf numFmtId="169" fontId="178" fillId="0" borderId="9" xfId="0" applyNumberFormat="1" applyFont="1" applyFill="1" applyBorder="1" applyAlignment="1">
      <alignment horizontal="right" vertical="center" wrapText="1"/>
    </xf>
    <xf numFmtId="10" fontId="170" fillId="0" borderId="0" xfId="7" applyNumberFormat="1" applyFont="1" applyFill="1" applyBorder="1" applyAlignment="1">
      <alignment horizontal="right" vertical="center" wrapText="1"/>
    </xf>
    <xf numFmtId="3" fontId="46" fillId="0" borderId="9" xfId="0" applyNumberFormat="1" applyFont="1" applyFill="1" applyBorder="1" applyAlignment="1">
      <alignment horizontal="right" vertical="center" wrapText="1"/>
    </xf>
    <xf numFmtId="3" fontId="178" fillId="0" borderId="53" xfId="0" applyNumberFormat="1" applyFont="1" applyFill="1" applyBorder="1" applyAlignment="1">
      <alignment horizontal="right" vertical="center" wrapText="1"/>
    </xf>
    <xf numFmtId="3" fontId="178" fillId="0" borderId="9" xfId="0" applyNumberFormat="1" applyFont="1" applyFill="1" applyBorder="1" applyAlignment="1">
      <alignment horizontal="right" vertical="center" wrapText="1"/>
    </xf>
    <xf numFmtId="3" fontId="178" fillId="0" borderId="14" xfId="0" applyNumberFormat="1" applyFont="1" applyFill="1" applyBorder="1" applyAlignment="1">
      <alignment horizontal="right" vertical="center" wrapText="1"/>
    </xf>
    <xf numFmtId="0" fontId="27" fillId="0" borderId="0" xfId="0" applyFont="1" applyFill="1" applyAlignment="1">
      <alignment horizontal="left" vertical="top"/>
    </xf>
    <xf numFmtId="0" fontId="182" fillId="0" borderId="0" xfId="0" applyFont="1" applyFill="1" applyAlignment="1">
      <alignment vertical="center"/>
    </xf>
    <xf numFmtId="0" fontId="26" fillId="0" borderId="0" xfId="0" applyFont="1" applyFill="1" applyAlignment="1">
      <alignment horizontal="left" vertical="center" wrapText="1"/>
    </xf>
    <xf numFmtId="0" fontId="26" fillId="0" borderId="55" xfId="0" applyFont="1" applyFill="1" applyBorder="1" applyAlignment="1">
      <alignment horizontal="left" vertical="center" wrapText="1"/>
    </xf>
    <xf numFmtId="0" fontId="1" fillId="0" borderId="55" xfId="0" applyFont="1" applyFill="1" applyBorder="1" applyAlignment="1">
      <alignment vertical="center"/>
    </xf>
    <xf numFmtId="0" fontId="0" fillId="0" borderId="0" xfId="0" applyFont="1" applyFill="1"/>
    <xf numFmtId="0" fontId="178" fillId="0" borderId="0" xfId="0" applyFont="1" applyFill="1" applyAlignment="1">
      <alignment vertical="center"/>
    </xf>
    <xf numFmtId="0" fontId="0" fillId="0" borderId="0" xfId="0" applyFill="1" applyBorder="1"/>
    <xf numFmtId="0" fontId="78" fillId="0" borderId="15" xfId="0" applyFont="1" applyFill="1" applyBorder="1" applyAlignment="1">
      <alignment horizontal="left" vertical="center" wrapText="1"/>
    </xf>
    <xf numFmtId="0" fontId="0" fillId="0" borderId="0" xfId="0" applyFont="1" applyFill="1" applyBorder="1"/>
    <xf numFmtId="0" fontId="0" fillId="0" borderId="0" xfId="0" applyFill="1" applyAlignment="1">
      <alignment wrapText="1"/>
    </xf>
    <xf numFmtId="0" fontId="59" fillId="0" borderId="13" xfId="0" applyFont="1" applyFill="1" applyBorder="1" applyAlignment="1">
      <alignment horizontal="left" vertical="center" wrapText="1"/>
    </xf>
    <xf numFmtId="0" fontId="59" fillId="81" borderId="5" xfId="0" applyFont="1" applyFill="1" applyBorder="1" applyAlignment="1">
      <alignment horizontal="right" vertical="center"/>
    </xf>
    <xf numFmtId="0" fontId="59" fillId="81" borderId="56" xfId="0" applyFont="1" applyFill="1" applyBorder="1" applyAlignment="1">
      <alignment horizontal="right" vertical="center"/>
    </xf>
    <xf numFmtId="0" fontId="59" fillId="0" borderId="5" xfId="0" applyFont="1" applyFill="1" applyBorder="1" applyAlignment="1">
      <alignment horizontal="right" vertical="center"/>
    </xf>
    <xf numFmtId="0" fontId="59" fillId="0" borderId="7" xfId="0" applyFont="1" applyFill="1" applyBorder="1" applyAlignment="1">
      <alignment horizontal="right" vertical="center"/>
    </xf>
    <xf numFmtId="0" fontId="59" fillId="0" borderId="4" xfId="0" applyFont="1" applyFill="1" applyBorder="1" applyAlignment="1">
      <alignment horizontal="left" vertical="center" wrapText="1"/>
    </xf>
    <xf numFmtId="0" fontId="59" fillId="0" borderId="50" xfId="0" applyFont="1" applyFill="1" applyBorder="1" applyAlignment="1">
      <alignment horizontal="left" vertical="center" wrapText="1"/>
    </xf>
    <xf numFmtId="0" fontId="78" fillId="0" borderId="50" xfId="0" applyFont="1" applyFill="1" applyBorder="1" applyAlignment="1">
      <alignment horizontal="left" vertical="center" wrapText="1"/>
    </xf>
    <xf numFmtId="0" fontId="12" fillId="2" borderId="57" xfId="0" applyFont="1" applyFill="1" applyBorder="1" applyAlignment="1">
      <alignment vertical="center" wrapText="1"/>
    </xf>
    <xf numFmtId="10" fontId="178" fillId="0" borderId="59" xfId="7" applyNumberFormat="1" applyFont="1" applyFill="1" applyBorder="1" applyAlignment="1">
      <alignment horizontal="right" vertical="center" wrapText="1"/>
    </xf>
    <xf numFmtId="10" fontId="178" fillId="0" borderId="59" xfId="0" applyNumberFormat="1" applyFont="1" applyFill="1" applyBorder="1" applyAlignment="1">
      <alignment horizontal="right" vertical="center" wrapText="1"/>
    </xf>
    <xf numFmtId="169" fontId="178" fillId="0" borderId="60" xfId="0" applyNumberFormat="1" applyFont="1" applyFill="1" applyBorder="1" applyAlignment="1">
      <alignment horizontal="right" vertical="center" wrapText="1"/>
    </xf>
    <xf numFmtId="10" fontId="178" fillId="2" borderId="59" xfId="7" applyNumberFormat="1" applyFont="1" applyFill="1" applyBorder="1" applyAlignment="1">
      <alignment horizontal="right" vertical="center" wrapText="1"/>
    </xf>
    <xf numFmtId="169" fontId="43" fillId="80" borderId="60" xfId="0" applyNumberFormat="1" applyFont="1" applyFill="1" applyBorder="1" applyAlignment="1">
      <alignment vertical="center" wrapText="1"/>
    </xf>
    <xf numFmtId="169" fontId="43" fillId="80" borderId="9" xfId="0" applyNumberFormat="1" applyFont="1" applyFill="1" applyBorder="1" applyAlignment="1">
      <alignment vertical="center" wrapText="1"/>
    </xf>
    <xf numFmtId="3" fontId="42" fillId="80" borderId="53" xfId="0" applyNumberFormat="1" applyFont="1" applyFill="1" applyBorder="1" applyAlignment="1">
      <alignment vertical="center" wrapText="1"/>
    </xf>
    <xf numFmtId="169" fontId="178" fillId="2" borderId="59" xfId="7" applyNumberFormat="1" applyFont="1" applyFill="1" applyBorder="1" applyAlignment="1">
      <alignment horizontal="right" vertical="center" wrapText="1"/>
    </xf>
    <xf numFmtId="169" fontId="178" fillId="0" borderId="59" xfId="7" applyNumberFormat="1" applyFont="1" applyFill="1" applyBorder="1" applyAlignment="1">
      <alignment horizontal="right" vertical="center" wrapText="1"/>
    </xf>
    <xf numFmtId="169" fontId="178" fillId="0" borderId="59" xfId="0" applyNumberFormat="1" applyFont="1" applyFill="1" applyBorder="1" applyAlignment="1">
      <alignment horizontal="right" vertical="center" wrapText="1"/>
    </xf>
    <xf numFmtId="3" fontId="0" fillId="0" borderId="0" xfId="0" applyNumberFormat="1"/>
    <xf numFmtId="3" fontId="12" fillId="2" borderId="57" xfId="0" applyNumberFormat="1" applyFont="1" applyFill="1" applyBorder="1" applyAlignment="1">
      <alignment vertical="center" wrapText="1"/>
    </xf>
    <xf numFmtId="3" fontId="178" fillId="0" borderId="59" xfId="7" applyNumberFormat="1" applyFont="1" applyFill="1" applyBorder="1" applyAlignment="1">
      <alignment horizontal="right" vertical="center" wrapText="1"/>
    </xf>
    <xf numFmtId="3" fontId="178" fillId="0" borderId="59" xfId="0" applyNumberFormat="1" applyFont="1" applyFill="1" applyBorder="1" applyAlignment="1">
      <alignment horizontal="right" vertical="center" wrapText="1"/>
    </xf>
    <xf numFmtId="3" fontId="178" fillId="0" borderId="60" xfId="0" applyNumberFormat="1" applyFont="1" applyFill="1" applyBorder="1" applyAlignment="1">
      <alignment horizontal="right" vertical="center" wrapText="1"/>
    </xf>
    <xf numFmtId="3" fontId="178" fillId="2" borderId="59" xfId="7" applyNumberFormat="1" applyFont="1" applyFill="1" applyBorder="1" applyAlignment="1">
      <alignment horizontal="right" vertical="center" wrapText="1"/>
    </xf>
    <xf numFmtId="3" fontId="43" fillId="80" borderId="60" xfId="0" applyNumberFormat="1" applyFont="1" applyFill="1" applyBorder="1" applyAlignment="1">
      <alignment vertical="center" wrapText="1"/>
    </xf>
    <xf numFmtId="10" fontId="43" fillId="80" borderId="60" xfId="0" applyNumberFormat="1" applyFont="1" applyFill="1" applyBorder="1" applyAlignment="1">
      <alignment vertical="center" wrapText="1"/>
    </xf>
    <xf numFmtId="10" fontId="42" fillId="80" borderId="63" xfId="0" applyNumberFormat="1" applyFont="1" applyFill="1" applyBorder="1" applyAlignment="1">
      <alignment vertical="center" wrapText="1"/>
    </xf>
    <xf numFmtId="10" fontId="42" fillId="80" borderId="9" xfId="0" applyNumberFormat="1" applyFont="1" applyFill="1" applyBorder="1" applyAlignment="1">
      <alignment vertical="center" wrapText="1"/>
    </xf>
    <xf numFmtId="10" fontId="42" fillId="80" borderId="14" xfId="0" applyNumberFormat="1" applyFont="1" applyFill="1" applyBorder="1" applyAlignment="1">
      <alignment vertical="center" wrapText="1"/>
    </xf>
    <xf numFmtId="0" fontId="210" fillId="2" borderId="0" xfId="0" applyFont="1" applyFill="1" applyAlignment="1">
      <alignment vertical="center"/>
    </xf>
    <xf numFmtId="170" fontId="211" fillId="80" borderId="51" xfId="0" applyNumberFormat="1" applyFont="1" applyFill="1" applyBorder="1" applyAlignment="1">
      <alignment vertical="center" wrapText="1"/>
    </xf>
    <xf numFmtId="170" fontId="48" fillId="80" borderId="51" xfId="0" applyNumberFormat="1" applyFont="1" applyFill="1" applyBorder="1" applyAlignment="1">
      <alignment vertical="center" wrapText="1"/>
    </xf>
    <xf numFmtId="170" fontId="48" fillId="80" borderId="9" xfId="0" applyNumberFormat="1" applyFont="1" applyFill="1" applyBorder="1" applyAlignment="1">
      <alignment vertical="center" wrapText="1"/>
    </xf>
    <xf numFmtId="170" fontId="48" fillId="80" borderId="14" xfId="0" applyNumberFormat="1" applyFont="1" applyFill="1" applyBorder="1" applyAlignment="1">
      <alignment vertical="center" wrapText="1"/>
    </xf>
    <xf numFmtId="0" fontId="78" fillId="0" borderId="0" xfId="0" applyFont="1" applyFill="1"/>
    <xf numFmtId="0" fontId="78" fillId="0" borderId="0" xfId="0" applyFont="1" applyFill="1" applyAlignment="1">
      <alignment horizontal="right"/>
    </xf>
    <xf numFmtId="0" fontId="112" fillId="0" borderId="0" xfId="0" applyFont="1" applyFill="1" applyBorder="1"/>
    <xf numFmtId="0" fontId="112" fillId="0" borderId="0" xfId="0" applyFont="1" applyFill="1" applyBorder="1" applyAlignment="1">
      <alignment horizontal="right"/>
    </xf>
    <xf numFmtId="3" fontId="48" fillId="80" borderId="9" xfId="0" applyNumberFormat="1" applyFont="1" applyFill="1" applyBorder="1" applyAlignment="1">
      <alignment vertical="center" wrapText="1"/>
    </xf>
    <xf numFmtId="3" fontId="48" fillId="80" borderId="14" xfId="0" applyNumberFormat="1" applyFont="1" applyFill="1" applyBorder="1" applyAlignment="1">
      <alignment vertical="center" wrapText="1"/>
    </xf>
    <xf numFmtId="3" fontId="212" fillId="80" borderId="51" xfId="0" applyNumberFormat="1" applyFont="1" applyFill="1" applyBorder="1" applyAlignment="1">
      <alignment vertical="center" wrapText="1"/>
    </xf>
    <xf numFmtId="3" fontId="169" fillId="80" borderId="51" xfId="0" applyNumberFormat="1" applyFont="1" applyFill="1" applyBorder="1" applyAlignment="1">
      <alignment vertical="center" wrapText="1"/>
    </xf>
    <xf numFmtId="170" fontId="28" fillId="80" borderId="9" xfId="0" applyNumberFormat="1" applyFont="1" applyFill="1" applyBorder="1" applyAlignment="1">
      <alignment vertical="center" wrapText="1"/>
    </xf>
    <xf numFmtId="182" fontId="28" fillId="80" borderId="9" xfId="0" applyNumberFormat="1" applyFont="1" applyFill="1" applyBorder="1" applyAlignment="1">
      <alignment vertical="center" wrapText="1"/>
    </xf>
    <xf numFmtId="182" fontId="31" fillId="80" borderId="9" xfId="0" applyNumberFormat="1" applyFont="1" applyFill="1" applyBorder="1" applyAlignment="1">
      <alignment vertical="center" wrapText="1"/>
    </xf>
    <xf numFmtId="169" fontId="28" fillId="2" borderId="0" xfId="7" applyNumberFormat="1" applyFont="1" applyFill="1" applyAlignment="1">
      <alignment vertical="center"/>
    </xf>
    <xf numFmtId="0" fontId="28" fillId="2" borderId="0" xfId="0" applyFont="1" applyFill="1" applyAlignment="1">
      <alignment horizontal="left" vertical="center" wrapText="1"/>
    </xf>
    <xf numFmtId="186" fontId="44" fillId="80" borderId="9" xfId="0" applyNumberFormat="1" applyFont="1" applyFill="1" applyBorder="1" applyAlignment="1">
      <alignment vertical="center" wrapText="1"/>
    </xf>
    <xf numFmtId="168" fontId="9" fillId="0" borderId="0" xfId="0" applyNumberFormat="1" applyFont="1" applyFill="1" applyBorder="1" applyAlignment="1">
      <alignment vertical="center"/>
    </xf>
    <xf numFmtId="168" fontId="9" fillId="0" borderId="3" xfId="0" applyNumberFormat="1" applyFont="1" applyFill="1" applyBorder="1" applyAlignment="1">
      <alignment vertical="center"/>
    </xf>
    <xf numFmtId="167" fontId="171" fillId="0" borderId="0" xfId="0" applyNumberFormat="1" applyFont="1" applyFill="1"/>
    <xf numFmtId="0" fontId="190" fillId="83" borderId="3" xfId="0" applyFont="1" applyFill="1" applyBorder="1" applyAlignment="1">
      <alignment vertical="center" wrapText="1"/>
    </xf>
    <xf numFmtId="177" fontId="190" fillId="83" borderId="3" xfId="0" applyNumberFormat="1" applyFont="1" applyFill="1" applyBorder="1" applyAlignment="1">
      <alignment vertical="center"/>
    </xf>
    <xf numFmtId="177" fontId="190" fillId="83" borderId="0" xfId="0" applyNumberFormat="1" applyFont="1" applyFill="1" applyBorder="1" applyAlignment="1">
      <alignment vertical="center"/>
    </xf>
    <xf numFmtId="177" fontId="190" fillId="83" borderId="9" xfId="0" applyNumberFormat="1" applyFont="1" applyFill="1" applyBorder="1" applyAlignment="1">
      <alignment vertical="center"/>
    </xf>
    <xf numFmtId="0" fontId="19" fillId="0" borderId="68" xfId="0" applyFont="1" applyFill="1" applyBorder="1" applyAlignment="1">
      <alignment vertical="center" wrapText="1"/>
    </xf>
    <xf numFmtId="0" fontId="19" fillId="0" borderId="67" xfId="0" applyFont="1" applyFill="1" applyBorder="1" applyAlignment="1">
      <alignment vertical="center" wrapText="1"/>
    </xf>
    <xf numFmtId="182" fontId="20" fillId="0" borderId="69" xfId="0" applyNumberFormat="1" applyFont="1" applyFill="1" applyBorder="1" applyAlignment="1">
      <alignment horizontal="right" vertical="center"/>
    </xf>
    <xf numFmtId="182" fontId="20" fillId="0" borderId="70" xfId="0" applyNumberFormat="1" applyFont="1" applyFill="1" applyBorder="1" applyAlignment="1">
      <alignment vertical="center"/>
    </xf>
    <xf numFmtId="182" fontId="20" fillId="0" borderId="68" xfId="0" applyNumberFormat="1" applyFont="1" applyFill="1" applyBorder="1" applyAlignment="1">
      <alignment vertical="center"/>
    </xf>
    <xf numFmtId="182" fontId="20" fillId="0" borderId="69" xfId="0" applyNumberFormat="1" applyFont="1" applyFill="1" applyBorder="1" applyAlignment="1">
      <alignment vertical="center"/>
    </xf>
    <xf numFmtId="0" fontId="213" fillId="83" borderId="3" xfId="0" applyFont="1" applyFill="1" applyBorder="1" applyAlignment="1">
      <alignment vertical="center" wrapText="1"/>
    </xf>
    <xf numFmtId="177" fontId="213" fillId="83" borderId="3" xfId="0" applyNumberFormat="1" applyFont="1" applyFill="1" applyBorder="1" applyAlignment="1">
      <alignment vertical="center"/>
    </xf>
    <xf numFmtId="177" fontId="213" fillId="83" borderId="0" xfId="0" applyNumberFormat="1" applyFont="1" applyFill="1" applyBorder="1" applyAlignment="1">
      <alignment vertical="center"/>
    </xf>
    <xf numFmtId="177" fontId="213" fillId="83" borderId="9" xfId="0" applyNumberFormat="1" applyFont="1" applyFill="1" applyBorder="1" applyAlignment="1">
      <alignment vertical="center"/>
    </xf>
    <xf numFmtId="0" fontId="29" fillId="2" borderId="17" xfId="0" applyFont="1" applyFill="1" applyBorder="1" applyAlignment="1">
      <alignment horizontal="left" vertical="center" indent="2"/>
    </xf>
    <xf numFmtId="0" fontId="189" fillId="0" borderId="9" xfId="0" applyFont="1" applyFill="1" applyBorder="1" applyAlignment="1">
      <alignment horizontal="left" vertical="center" indent="3"/>
    </xf>
    <xf numFmtId="0" fontId="202" fillId="2" borderId="0" xfId="0" applyFont="1" applyFill="1" applyBorder="1"/>
    <xf numFmtId="0" fontId="200" fillId="75" borderId="0" xfId="0" applyFont="1" applyFill="1" applyBorder="1" applyAlignment="1">
      <alignment vertical="center" wrapText="1"/>
    </xf>
    <xf numFmtId="0" fontId="200" fillId="75" borderId="17" xfId="0" applyFont="1" applyFill="1" applyBorder="1" applyAlignment="1">
      <alignment vertical="center" wrapText="1"/>
    </xf>
    <xf numFmtId="0" fontId="201" fillId="0" borderId="0" xfId="0" applyFont="1" applyBorder="1"/>
    <xf numFmtId="0" fontId="43" fillId="0" borderId="68" xfId="0" applyFont="1" applyFill="1" applyBorder="1" applyAlignment="1">
      <alignment vertical="center" wrapText="1"/>
    </xf>
    <xf numFmtId="177" fontId="185" fillId="0" borderId="68" xfId="0" applyNumberFormat="1" applyFont="1" applyFill="1" applyBorder="1" applyAlignment="1">
      <alignment vertical="center"/>
    </xf>
    <xf numFmtId="177" fontId="185" fillId="0" borderId="69" xfId="0" applyNumberFormat="1" applyFont="1" applyFill="1" applyBorder="1" applyAlignment="1">
      <alignment vertical="center"/>
    </xf>
    <xf numFmtId="177" fontId="185" fillId="0" borderId="70" xfId="0" applyNumberFormat="1" applyFont="1" applyFill="1" applyBorder="1" applyAlignment="1">
      <alignment vertical="center"/>
    </xf>
    <xf numFmtId="0" fontId="43" fillId="0" borderId="67" xfId="0" applyFont="1" applyFill="1" applyBorder="1" applyAlignment="1">
      <alignment vertical="center" wrapText="1"/>
    </xf>
    <xf numFmtId="0" fontId="191" fillId="83" borderId="3" xfId="0" applyFont="1" applyFill="1" applyBorder="1" applyAlignment="1">
      <alignment vertical="center" wrapText="1"/>
    </xf>
    <xf numFmtId="0" fontId="191" fillId="83" borderId="17" xfId="0" applyFont="1" applyFill="1" applyBorder="1" applyAlignment="1">
      <alignment vertical="center" wrapText="1"/>
    </xf>
    <xf numFmtId="171" fontId="191" fillId="83" borderId="0" xfId="0" applyNumberFormat="1" applyFont="1" applyFill="1" applyBorder="1" applyAlignment="1">
      <alignment vertical="center"/>
    </xf>
    <xf numFmtId="170" fontId="191" fillId="84" borderId="9" xfId="0" applyNumberFormat="1" applyFont="1" applyFill="1" applyBorder="1" applyAlignment="1">
      <alignment vertical="center" wrapText="1"/>
    </xf>
    <xf numFmtId="171" fontId="191" fillId="83" borderId="3" xfId="0" applyNumberFormat="1" applyFont="1" applyFill="1" applyBorder="1" applyAlignment="1">
      <alignment vertical="center"/>
    </xf>
    <xf numFmtId="171" fontId="193" fillId="83" borderId="0" xfId="0" applyNumberFormat="1" applyFont="1" applyFill="1" applyBorder="1" applyAlignment="1">
      <alignment vertical="center"/>
    </xf>
    <xf numFmtId="182" fontId="191" fillId="83" borderId="0" xfId="0" applyNumberFormat="1" applyFont="1" applyFill="1" applyBorder="1" applyAlignment="1">
      <alignment vertical="center"/>
    </xf>
    <xf numFmtId="0" fontId="209" fillId="78" borderId="0" xfId="0" applyFont="1" applyFill="1" applyBorder="1"/>
    <xf numFmtId="171" fontId="209" fillId="0" borderId="0" xfId="0" applyNumberFormat="1" applyFont="1" applyFill="1" applyBorder="1"/>
    <xf numFmtId="180" fontId="45" fillId="0" borderId="0" xfId="0" applyNumberFormat="1" applyFont="1" applyFill="1" applyBorder="1" applyAlignment="1">
      <alignment horizontal="right" vertical="center"/>
    </xf>
    <xf numFmtId="171" fontId="9" fillId="0" borderId="0" xfId="0" applyNumberFormat="1" applyFont="1" applyBorder="1"/>
    <xf numFmtId="185" fontId="171" fillId="2" borderId="17" xfId="0" applyNumberFormat="1" applyFont="1" applyFill="1" applyBorder="1" applyAlignment="1">
      <alignment vertical="center" wrapText="1"/>
    </xf>
    <xf numFmtId="0" fontId="176" fillId="0" borderId="0" xfId="0" applyFont="1" applyBorder="1" applyAlignment="1">
      <alignment horizontal="right" vertical="center" wrapText="1"/>
    </xf>
    <xf numFmtId="0" fontId="190" fillId="75" borderId="71" xfId="0" applyFont="1" applyFill="1" applyBorder="1" applyAlignment="1">
      <alignment horizontal="left" vertical="center" wrapText="1"/>
    </xf>
    <xf numFmtId="185" fontId="19" fillId="2" borderId="71" xfId="0" applyNumberFormat="1" applyFont="1" applyFill="1" applyBorder="1" applyAlignment="1">
      <alignment vertical="center" wrapText="1"/>
    </xf>
    <xf numFmtId="0" fontId="190" fillId="75" borderId="72" xfId="0" applyFont="1" applyFill="1" applyBorder="1" applyAlignment="1">
      <alignment horizontal="left" vertical="center" wrapText="1"/>
    </xf>
    <xf numFmtId="185" fontId="19" fillId="2" borderId="72" xfId="0" applyNumberFormat="1" applyFont="1" applyFill="1" applyBorder="1" applyAlignment="1">
      <alignment vertical="center" wrapText="1"/>
    </xf>
    <xf numFmtId="0" fontId="190" fillId="75" borderId="73" xfId="0" applyFont="1" applyFill="1" applyBorder="1" applyAlignment="1">
      <alignment horizontal="left" vertical="center" wrapText="1"/>
    </xf>
    <xf numFmtId="185" fontId="19" fillId="2" borderId="73" xfId="0" applyNumberFormat="1" applyFont="1" applyFill="1" applyBorder="1" applyAlignment="1">
      <alignment vertical="center" wrapText="1"/>
    </xf>
    <xf numFmtId="0" fontId="191" fillId="75" borderId="73" xfId="0" applyFont="1" applyFill="1" applyBorder="1" applyAlignment="1">
      <alignment horizontal="right" vertical="center"/>
    </xf>
    <xf numFmtId="0" fontId="193" fillId="75" borderId="73" xfId="0" applyFont="1" applyFill="1" applyBorder="1" applyAlignment="1">
      <alignment horizontal="right" vertical="center"/>
    </xf>
    <xf numFmtId="0" fontId="190" fillId="76" borderId="73" xfId="0" applyFont="1" applyFill="1" applyBorder="1" applyAlignment="1">
      <alignment horizontal="right" vertical="center"/>
    </xf>
    <xf numFmtId="0" fontId="190" fillId="75" borderId="73" xfId="0" applyFont="1" applyFill="1" applyBorder="1" applyAlignment="1">
      <alignment horizontal="right" vertical="center"/>
    </xf>
    <xf numFmtId="0" fontId="59" fillId="75" borderId="73" xfId="0" applyFont="1" applyFill="1" applyBorder="1" applyAlignment="1">
      <alignment horizontal="right" vertical="center"/>
    </xf>
    <xf numFmtId="0" fontId="12" fillId="2" borderId="67" xfId="0" applyFont="1" applyFill="1" applyBorder="1" applyAlignment="1">
      <alignment vertical="center" wrapText="1"/>
    </xf>
    <xf numFmtId="0" fontId="12" fillId="2" borderId="69" xfId="0" applyFont="1" applyFill="1" applyBorder="1" applyAlignment="1">
      <alignment vertical="center" wrapText="1"/>
    </xf>
    <xf numFmtId="170" fontId="12" fillId="2" borderId="69" xfId="0" applyNumberFormat="1" applyFont="1" applyFill="1" applyBorder="1" applyAlignment="1">
      <alignment vertical="center"/>
    </xf>
    <xf numFmtId="170" fontId="43" fillId="80" borderId="70" xfId="0" applyNumberFormat="1" applyFont="1" applyFill="1" applyBorder="1" applyAlignment="1">
      <alignment vertical="center" wrapText="1"/>
    </xf>
    <xf numFmtId="170" fontId="169" fillId="3" borderId="70" xfId="0" applyNumberFormat="1" applyFont="1" applyFill="1" applyBorder="1" applyAlignment="1">
      <alignment horizontal="right" vertical="center"/>
    </xf>
    <xf numFmtId="0" fontId="12" fillId="2" borderId="74" xfId="0" applyFont="1" applyFill="1" applyBorder="1" applyAlignment="1">
      <alignment vertical="center" wrapText="1"/>
    </xf>
    <xf numFmtId="0" fontId="12" fillId="2" borderId="75" xfId="0" applyFont="1" applyFill="1" applyBorder="1" applyAlignment="1">
      <alignment vertical="center" wrapText="1"/>
    </xf>
    <xf numFmtId="170" fontId="12" fillId="2" borderId="75" xfId="0" applyNumberFormat="1" applyFont="1" applyFill="1" applyBorder="1" applyAlignment="1">
      <alignment vertical="center"/>
    </xf>
    <xf numFmtId="170" fontId="43" fillId="80" borderId="76" xfId="0" applyNumberFormat="1" applyFont="1" applyFill="1" applyBorder="1" applyAlignment="1">
      <alignment vertical="center" wrapText="1"/>
    </xf>
    <xf numFmtId="170" fontId="169" fillId="3" borderId="76" xfId="0" applyNumberFormat="1" applyFont="1" applyFill="1" applyBorder="1" applyAlignment="1">
      <alignment horizontal="right" vertical="center"/>
    </xf>
    <xf numFmtId="0" fontId="12" fillId="2" borderId="0" xfId="0" applyFont="1" applyFill="1" applyBorder="1" applyAlignment="1">
      <alignment vertical="center"/>
    </xf>
    <xf numFmtId="0" fontId="12" fillId="0" borderId="0" xfId="0" applyFont="1" applyBorder="1" applyAlignment="1">
      <alignment vertical="center"/>
    </xf>
    <xf numFmtId="0" fontId="191" fillId="83" borderId="77" xfId="0" applyFont="1" applyFill="1" applyBorder="1" applyAlignment="1">
      <alignment vertical="center" wrapText="1"/>
    </xf>
    <xf numFmtId="0" fontId="191" fillId="83" borderId="78" xfId="0" applyFont="1" applyFill="1" applyBorder="1" applyAlignment="1">
      <alignment vertical="center" wrapText="1"/>
    </xf>
    <xf numFmtId="171" fontId="191" fillId="83" borderId="79" xfId="0" applyNumberFormat="1" applyFont="1" applyFill="1" applyBorder="1" applyAlignment="1">
      <alignment vertical="center"/>
    </xf>
    <xf numFmtId="170" fontId="191" fillId="84" borderId="80" xfId="0" applyNumberFormat="1" applyFont="1" applyFill="1" applyBorder="1" applyAlignment="1">
      <alignment vertical="center" wrapText="1"/>
    </xf>
    <xf numFmtId="171" fontId="191" fillId="83" borderId="77" xfId="0" applyNumberFormat="1" applyFont="1" applyFill="1" applyBorder="1" applyAlignment="1">
      <alignment vertical="center"/>
    </xf>
    <xf numFmtId="171" fontId="193" fillId="83" borderId="79" xfId="0" applyNumberFormat="1" applyFont="1" applyFill="1" applyBorder="1" applyAlignment="1">
      <alignment vertical="center"/>
    </xf>
    <xf numFmtId="182" fontId="191" fillId="83" borderId="79" xfId="0" applyNumberFormat="1" applyFont="1" applyFill="1" applyBorder="1" applyAlignment="1">
      <alignment vertical="center"/>
    </xf>
    <xf numFmtId="0" fontId="209" fillId="78" borderId="79" xfId="0" applyFont="1" applyFill="1" applyBorder="1"/>
    <xf numFmtId="169" fontId="12" fillId="2" borderId="67" xfId="0" applyNumberFormat="1" applyFont="1" applyFill="1" applyBorder="1" applyAlignment="1">
      <alignment vertical="center" wrapText="1"/>
    </xf>
    <xf numFmtId="169" fontId="12" fillId="2" borderId="69" xfId="0" applyNumberFormat="1" applyFont="1" applyFill="1" applyBorder="1" applyAlignment="1">
      <alignment vertical="center" wrapText="1"/>
    </xf>
    <xf numFmtId="169" fontId="12" fillId="2" borderId="69" xfId="0" applyNumberFormat="1" applyFont="1" applyFill="1" applyBorder="1" applyAlignment="1">
      <alignment vertical="center"/>
    </xf>
    <xf numFmtId="169" fontId="43" fillId="80" borderId="70" xfId="0" applyNumberFormat="1" applyFont="1" applyFill="1" applyBorder="1" applyAlignment="1">
      <alignment vertical="center" wrapText="1"/>
    </xf>
    <xf numFmtId="169" fontId="169" fillId="3" borderId="70" xfId="0" applyNumberFormat="1" applyFont="1" applyFill="1" applyBorder="1" applyAlignment="1">
      <alignment horizontal="right" vertical="center"/>
    </xf>
    <xf numFmtId="169" fontId="191" fillId="83" borderId="77" xfId="0" applyNumberFormat="1" applyFont="1" applyFill="1" applyBorder="1" applyAlignment="1">
      <alignment vertical="center" wrapText="1"/>
    </xf>
    <xf numFmtId="169" fontId="191" fillId="83" borderId="78" xfId="0" applyNumberFormat="1" applyFont="1" applyFill="1" applyBorder="1" applyAlignment="1">
      <alignment vertical="center" wrapText="1"/>
    </xf>
    <xf numFmtId="169" fontId="191" fillId="83" borderId="79" xfId="0" applyNumberFormat="1" applyFont="1" applyFill="1" applyBorder="1" applyAlignment="1">
      <alignment vertical="center"/>
    </xf>
    <xf numFmtId="169" fontId="191" fillId="84" borderId="80" xfId="0" applyNumberFormat="1" applyFont="1" applyFill="1" applyBorder="1" applyAlignment="1">
      <alignment vertical="center" wrapText="1"/>
    </xf>
    <xf numFmtId="169" fontId="191" fillId="83" borderId="77" xfId="0" applyNumberFormat="1" applyFont="1" applyFill="1" applyBorder="1" applyAlignment="1">
      <alignment vertical="center"/>
    </xf>
    <xf numFmtId="169" fontId="193" fillId="83" borderId="79" xfId="0" applyNumberFormat="1" applyFont="1" applyFill="1" applyBorder="1" applyAlignment="1">
      <alignment vertical="center"/>
    </xf>
    <xf numFmtId="0" fontId="200" fillId="75" borderId="0" xfId="0" applyFont="1" applyFill="1" applyBorder="1" applyAlignment="1">
      <alignment horizontal="right" vertical="center" wrapText="1"/>
    </xf>
    <xf numFmtId="0" fontId="200" fillId="75" borderId="0" xfId="0" applyFont="1" applyFill="1" applyBorder="1" applyAlignment="1">
      <alignment horizontal="right" vertical="center"/>
    </xf>
    <xf numFmtId="0" fontId="200" fillId="75" borderId="9" xfId="0" applyFont="1" applyFill="1" applyBorder="1" applyAlignment="1">
      <alignment horizontal="right" vertical="center"/>
    </xf>
    <xf numFmtId="0" fontId="59" fillId="75" borderId="81" xfId="0" applyFont="1" applyFill="1" applyBorder="1" applyAlignment="1">
      <alignment vertical="center" wrapText="1"/>
    </xf>
    <xf numFmtId="0" fontId="59" fillId="75" borderId="82" xfId="0" applyFont="1" applyFill="1" applyBorder="1" applyAlignment="1">
      <alignment vertical="center" wrapText="1"/>
    </xf>
    <xf numFmtId="0" fontId="25" fillId="2" borderId="71" xfId="0" applyFont="1" applyFill="1" applyBorder="1"/>
    <xf numFmtId="0" fontId="25" fillId="0" borderId="71" xfId="0" applyFont="1" applyBorder="1"/>
    <xf numFmtId="0" fontId="59" fillId="75" borderId="84" xfId="0" applyFont="1" applyFill="1" applyBorder="1" applyAlignment="1">
      <alignment vertical="center" wrapText="1"/>
    </xf>
    <xf numFmtId="0" fontId="191" fillId="75" borderId="84" xfId="0" applyFont="1" applyFill="1" applyBorder="1" applyAlignment="1">
      <alignment horizontal="right" vertical="center"/>
    </xf>
    <xf numFmtId="0" fontId="191" fillId="75" borderId="72" xfId="0" applyFont="1" applyFill="1" applyBorder="1" applyAlignment="1">
      <alignment horizontal="right" vertical="center"/>
    </xf>
    <xf numFmtId="0" fontId="191" fillId="75" borderId="85" xfId="0" applyFont="1" applyFill="1" applyBorder="1" applyAlignment="1">
      <alignment horizontal="right" vertical="center"/>
    </xf>
    <xf numFmtId="0" fontId="191" fillId="75" borderId="85" xfId="0" applyFont="1" applyFill="1" applyBorder="1" applyAlignment="1">
      <alignment horizontal="right" vertical="center" wrapText="1"/>
    </xf>
    <xf numFmtId="0" fontId="193" fillId="75" borderId="72" xfId="0" applyFont="1" applyFill="1" applyBorder="1" applyAlignment="1">
      <alignment horizontal="right" vertical="center"/>
    </xf>
    <xf numFmtId="0" fontId="9" fillId="0" borderId="72" xfId="0" applyFont="1" applyBorder="1"/>
    <xf numFmtId="0" fontId="193" fillId="75" borderId="73" xfId="0" applyFont="1" applyFill="1" applyBorder="1" applyAlignment="1">
      <alignment vertical="center" wrapText="1"/>
    </xf>
    <xf numFmtId="0" fontId="193" fillId="75" borderId="86" xfId="0" applyFont="1" applyFill="1" applyBorder="1" applyAlignment="1">
      <alignment vertical="center" wrapText="1"/>
    </xf>
    <xf numFmtId="0" fontId="193" fillId="75" borderId="73" xfId="0" applyFont="1" applyFill="1" applyBorder="1" applyAlignment="1">
      <alignment horizontal="right" vertical="center" wrapText="1"/>
    </xf>
    <xf numFmtId="0" fontId="193" fillId="75" borderId="87" xfId="0" applyFont="1" applyFill="1" applyBorder="1" applyAlignment="1">
      <alignment horizontal="right" vertical="center"/>
    </xf>
    <xf numFmtId="0" fontId="9" fillId="0" borderId="73" xfId="0" applyFont="1" applyBorder="1"/>
    <xf numFmtId="0" fontId="214" fillId="2" borderId="0" xfId="0" applyFont="1" applyFill="1" applyBorder="1" applyAlignment="1">
      <alignment vertical="center"/>
    </xf>
    <xf numFmtId="0" fontId="6" fillId="0" borderId="0" xfId="0" applyFont="1"/>
    <xf numFmtId="0" fontId="190" fillId="75" borderId="88" xfId="0" applyFont="1" applyFill="1" applyBorder="1" applyAlignment="1">
      <alignment horizontal="left" vertical="center" wrapText="1"/>
    </xf>
    <xf numFmtId="0" fontId="191" fillId="79" borderId="89" xfId="0" applyNumberFormat="1" applyFont="1" applyFill="1" applyBorder="1" applyAlignment="1">
      <alignment horizontal="right" vertical="center" wrapText="1"/>
    </xf>
    <xf numFmtId="0" fontId="190" fillId="75" borderId="88" xfId="0" applyFont="1" applyFill="1" applyBorder="1" applyAlignment="1">
      <alignment horizontal="right" vertical="center" wrapText="1"/>
    </xf>
    <xf numFmtId="182" fontId="191" fillId="79" borderId="89" xfId="0" applyNumberFormat="1" applyFont="1" applyFill="1" applyBorder="1" applyAlignment="1">
      <alignment horizontal="right" vertical="center" wrapText="1"/>
    </xf>
    <xf numFmtId="0" fontId="9" fillId="0" borderId="88" xfId="0" applyFont="1" applyBorder="1" applyAlignment="1">
      <alignment horizontal="center" vertical="center"/>
    </xf>
    <xf numFmtId="0" fontId="190" fillId="75" borderId="90" xfId="0" applyFont="1" applyFill="1" applyBorder="1" applyAlignment="1">
      <alignment horizontal="left" vertical="center" wrapText="1"/>
    </xf>
    <xf numFmtId="0" fontId="191" fillId="79" borderId="90" xfId="0" applyNumberFormat="1" applyFont="1" applyFill="1" applyBorder="1" applyAlignment="1">
      <alignment horizontal="right" vertical="center" wrapText="1"/>
    </xf>
    <xf numFmtId="0" fontId="190" fillId="75" borderId="90" xfId="0" applyFont="1" applyFill="1" applyBorder="1" applyAlignment="1">
      <alignment horizontal="right" vertical="center" wrapText="1"/>
    </xf>
    <xf numFmtId="182" fontId="191" fillId="79" borderId="90" xfId="0" applyNumberFormat="1" applyFont="1" applyFill="1" applyBorder="1" applyAlignment="1">
      <alignment horizontal="right" vertical="center" wrapText="1"/>
    </xf>
    <xf numFmtId="0" fontId="9" fillId="0" borderId="91" xfId="0" applyFont="1" applyBorder="1" applyAlignment="1">
      <alignment horizontal="center" vertical="center"/>
    </xf>
    <xf numFmtId="0" fontId="6" fillId="0" borderId="0" xfId="0" applyFont="1" applyBorder="1" applyAlignment="1">
      <alignment horizontal="left" vertical="center"/>
    </xf>
    <xf numFmtId="0" fontId="9" fillId="0" borderId="0" xfId="0" applyFont="1" applyBorder="1" applyAlignment="1">
      <alignment horizontal="left" vertical="center"/>
    </xf>
    <xf numFmtId="169" fontId="28" fillId="80" borderId="0" xfId="2" applyNumberFormat="1" applyFont="1" applyFill="1" applyBorder="1" applyAlignment="1">
      <alignment horizontal="right" vertical="center"/>
    </xf>
    <xf numFmtId="169" fontId="9" fillId="0" borderId="0" xfId="2" applyNumberFormat="1" applyFont="1" applyFill="1" applyBorder="1" applyAlignment="1">
      <alignment horizontal="right" vertical="center"/>
    </xf>
    <xf numFmtId="0" fontId="9" fillId="0" borderId="0" xfId="0" applyFont="1" applyBorder="1" applyAlignment="1">
      <alignment horizontal="center" vertical="center"/>
    </xf>
    <xf numFmtId="167" fontId="28" fillId="80" borderId="0" xfId="2" applyNumberFormat="1" applyFont="1" applyFill="1" applyBorder="1" applyAlignment="1">
      <alignment horizontal="right" vertical="center"/>
    </xf>
    <xf numFmtId="167" fontId="9" fillId="0" borderId="0" xfId="2" applyNumberFormat="1" applyFont="1" applyFill="1" applyBorder="1" applyAlignment="1">
      <alignment horizontal="right" vertical="center"/>
    </xf>
    <xf numFmtId="49" fontId="218" fillId="0" borderId="0" xfId="0" applyNumberFormat="1" applyFont="1"/>
    <xf numFmtId="0" fontId="218" fillId="0" borderId="0" xfId="0" applyFont="1"/>
    <xf numFmtId="0" fontId="218" fillId="0" borderId="0" xfId="0" applyFont="1" applyFill="1"/>
    <xf numFmtId="49" fontId="218" fillId="0" borderId="0" xfId="0" applyNumberFormat="1" applyFont="1" applyFill="1"/>
    <xf numFmtId="169" fontId="43" fillId="80" borderId="70" xfId="7" applyNumberFormat="1" applyFont="1" applyFill="1" applyBorder="1" applyAlignment="1">
      <alignment vertical="center" wrapText="1"/>
    </xf>
    <xf numFmtId="173" fontId="30" fillId="2" borderId="9" xfId="0" applyNumberFormat="1" applyFont="1" applyFill="1" applyBorder="1" applyAlignment="1">
      <alignment horizontal="right" vertical="center"/>
    </xf>
    <xf numFmtId="214" fontId="191" fillId="83" borderId="0" xfId="0" applyNumberFormat="1" applyFont="1" applyFill="1" applyBorder="1" applyAlignment="1">
      <alignment vertical="center"/>
    </xf>
    <xf numFmtId="181" fontId="191" fillId="84" borderId="9" xfId="0" applyNumberFormat="1" applyFont="1" applyFill="1" applyBorder="1" applyAlignment="1">
      <alignment vertical="center" wrapText="1"/>
    </xf>
    <xf numFmtId="215" fontId="191" fillId="84" borderId="9" xfId="0" applyNumberFormat="1" applyFont="1" applyFill="1" applyBorder="1" applyAlignment="1">
      <alignment vertical="center" wrapText="1"/>
    </xf>
    <xf numFmtId="0" fontId="190" fillId="75" borderId="72" xfId="0" applyFont="1" applyFill="1" applyBorder="1" applyAlignment="1">
      <alignment horizontal="center" vertical="center" wrapText="1"/>
    </xf>
    <xf numFmtId="169" fontId="209" fillId="0" borderId="0" xfId="0" applyNumberFormat="1" applyFont="1" applyFill="1" applyBorder="1"/>
    <xf numFmtId="215" fontId="209" fillId="0" borderId="0" xfId="0" applyNumberFormat="1" applyFont="1" applyFill="1" applyBorder="1"/>
    <xf numFmtId="169" fontId="20" fillId="0" borderId="0" xfId="0" applyNumberFormat="1" applyFont="1" applyFill="1" applyBorder="1"/>
    <xf numFmtId="0" fontId="193" fillId="75" borderId="17" xfId="0" applyFont="1" applyFill="1" applyBorder="1" applyAlignment="1">
      <alignment vertical="center" wrapText="1"/>
    </xf>
    <xf numFmtId="0" fontId="191" fillId="75" borderId="0" xfId="0" applyFont="1" applyFill="1" applyBorder="1" applyAlignment="1">
      <alignment horizontal="center" vertical="center" wrapText="1"/>
    </xf>
    <xf numFmtId="0" fontId="191" fillId="75" borderId="9" xfId="0" applyFont="1" applyFill="1" applyBorder="1" applyAlignment="1">
      <alignment horizontal="center" vertical="center" wrapText="1"/>
    </xf>
    <xf numFmtId="0" fontId="191" fillId="75" borderId="3" xfId="0" applyFont="1" applyFill="1" applyBorder="1" applyAlignment="1">
      <alignment horizontal="center" vertical="center" wrapText="1"/>
    </xf>
    <xf numFmtId="0" fontId="19" fillId="0" borderId="3" xfId="0" applyFont="1" applyFill="1" applyBorder="1" applyAlignment="1">
      <alignment vertical="center" wrapText="1"/>
    </xf>
    <xf numFmtId="0" fontId="19" fillId="0" borderId="17" xfId="0" applyFont="1" applyFill="1" applyBorder="1" applyAlignment="1">
      <alignment vertical="center" wrapText="1"/>
    </xf>
    <xf numFmtId="182" fontId="20" fillId="0" borderId="9" xfId="0" applyNumberFormat="1" applyFont="1" applyFill="1" applyBorder="1" applyAlignment="1">
      <alignment vertical="center"/>
    </xf>
    <xf numFmtId="182" fontId="20" fillId="0" borderId="3" xfId="0" applyNumberFormat="1" applyFont="1" applyFill="1" applyBorder="1" applyAlignment="1">
      <alignment vertical="center"/>
    </xf>
    <xf numFmtId="0" fontId="193" fillId="75" borderId="81" xfId="0" applyFont="1" applyFill="1" applyBorder="1" applyAlignment="1">
      <alignment vertical="center" wrapText="1"/>
    </xf>
    <xf numFmtId="0" fontId="193" fillId="75" borderId="82" xfId="0" applyFont="1" applyFill="1" applyBorder="1" applyAlignment="1">
      <alignment vertical="center" wrapText="1"/>
    </xf>
    <xf numFmtId="0" fontId="191" fillId="75" borderId="72" xfId="0" applyFont="1" applyFill="1" applyBorder="1" applyAlignment="1">
      <alignment horizontal="center" vertical="center" wrapText="1"/>
    </xf>
    <xf numFmtId="0" fontId="191" fillId="75" borderId="85" xfId="0" applyFont="1" applyFill="1" applyBorder="1" applyAlignment="1">
      <alignment horizontal="center" vertical="center" wrapText="1"/>
    </xf>
    <xf numFmtId="0" fontId="191" fillId="75" borderId="84" xfId="0" applyFont="1" applyFill="1" applyBorder="1" applyAlignment="1">
      <alignment horizontal="center" vertical="center" wrapText="1"/>
    </xf>
    <xf numFmtId="0" fontId="9" fillId="2" borderId="72" xfId="0" applyFont="1" applyFill="1" applyBorder="1" applyAlignment="1">
      <alignment vertical="center"/>
    </xf>
    <xf numFmtId="0" fontId="9" fillId="0" borderId="72" xfId="0" applyFont="1" applyBorder="1" applyAlignment="1">
      <alignment vertical="center"/>
    </xf>
    <xf numFmtId="0" fontId="25" fillId="2" borderId="0" xfId="0" applyFont="1" applyFill="1" applyBorder="1" applyAlignment="1">
      <alignment vertical="center"/>
    </xf>
    <xf numFmtId="0" fontId="25" fillId="0" borderId="0" xfId="0" applyFont="1" applyBorder="1" applyAlignment="1">
      <alignment vertical="center"/>
    </xf>
    <xf numFmtId="0" fontId="6" fillId="0" borderId="93" xfId="0" applyFont="1" applyBorder="1" applyAlignment="1">
      <alignment vertical="center"/>
    </xf>
    <xf numFmtId="0" fontId="9" fillId="0" borderId="93" xfId="0" applyFont="1" applyBorder="1" applyAlignment="1">
      <alignment vertical="center"/>
    </xf>
    <xf numFmtId="169" fontId="28" fillId="80" borderId="93" xfId="2" applyNumberFormat="1" applyFont="1" applyFill="1" applyBorder="1" applyAlignment="1">
      <alignment horizontal="right" vertical="center"/>
    </xf>
    <xf numFmtId="169" fontId="9" fillId="0" borderId="93" xfId="2" applyNumberFormat="1" applyFont="1" applyFill="1" applyBorder="1" applyAlignment="1">
      <alignment horizontal="right" vertical="center"/>
    </xf>
    <xf numFmtId="215" fontId="30" fillId="0" borderId="9" xfId="0" applyNumberFormat="1" applyFont="1" applyFill="1" applyBorder="1" applyAlignment="1">
      <alignment horizontal="right" vertical="center"/>
    </xf>
    <xf numFmtId="0" fontId="190" fillId="75" borderId="94" xfId="0" applyFont="1" applyFill="1" applyBorder="1" applyAlignment="1">
      <alignment horizontal="left" vertical="center" wrapText="1"/>
    </xf>
    <xf numFmtId="0" fontId="190" fillId="75" borderId="85" xfId="0" applyFont="1" applyFill="1" applyBorder="1" applyAlignment="1">
      <alignment horizontal="center" vertical="center" wrapText="1"/>
    </xf>
    <xf numFmtId="0" fontId="190" fillId="75" borderId="84" xfId="0" applyFont="1" applyFill="1" applyBorder="1" applyAlignment="1">
      <alignment horizontal="center" vertical="center" wrapText="1"/>
    </xf>
    <xf numFmtId="0" fontId="190" fillId="75" borderId="95" xfId="0" applyFont="1" applyFill="1" applyBorder="1" applyAlignment="1">
      <alignment horizontal="left" vertical="center" wrapText="1"/>
    </xf>
    <xf numFmtId="0" fontId="190" fillId="75" borderId="86" xfId="0" applyFont="1" applyFill="1" applyBorder="1" applyAlignment="1">
      <alignment horizontal="left" vertical="center" wrapText="1"/>
    </xf>
    <xf numFmtId="0" fontId="191" fillId="79" borderId="73" xfId="0" applyFont="1" applyFill="1" applyBorder="1" applyAlignment="1">
      <alignment horizontal="right" vertical="center"/>
    </xf>
    <xf numFmtId="0" fontId="191" fillId="75" borderId="92" xfId="0" applyFont="1" applyFill="1" applyBorder="1" applyAlignment="1">
      <alignment horizontal="right" vertical="center"/>
    </xf>
    <xf numFmtId="0" fontId="191" fillId="79" borderId="87" xfId="0" applyFont="1" applyFill="1" applyBorder="1" applyAlignment="1">
      <alignment horizontal="right" vertical="center"/>
    </xf>
    <xf numFmtId="215" fontId="191" fillId="83" borderId="77" xfId="0" applyNumberFormat="1" applyFont="1" applyFill="1" applyBorder="1" applyAlignment="1">
      <alignment vertical="center" wrapText="1"/>
    </xf>
    <xf numFmtId="215" fontId="191" fillId="83" borderId="78" xfId="0" applyNumberFormat="1" applyFont="1" applyFill="1" applyBorder="1" applyAlignment="1">
      <alignment vertical="center" wrapText="1"/>
    </xf>
    <xf numFmtId="215" fontId="191" fillId="83" borderId="79" xfId="0" applyNumberFormat="1" applyFont="1" applyFill="1" applyBorder="1" applyAlignment="1">
      <alignment vertical="center"/>
    </xf>
    <xf numFmtId="215" fontId="191" fillId="84" borderId="80" xfId="0" applyNumberFormat="1" applyFont="1" applyFill="1" applyBorder="1" applyAlignment="1">
      <alignment vertical="center" wrapText="1"/>
    </xf>
    <xf numFmtId="215" fontId="191" fillId="83" borderId="77" xfId="0" applyNumberFormat="1" applyFont="1" applyFill="1" applyBorder="1" applyAlignment="1">
      <alignment vertical="center"/>
    </xf>
    <xf numFmtId="215" fontId="193" fillId="83" borderId="79" xfId="0" applyNumberFormat="1" applyFont="1" applyFill="1" applyBorder="1" applyAlignment="1">
      <alignment vertical="center"/>
    </xf>
    <xf numFmtId="215" fontId="209" fillId="78" borderId="79" xfId="0" applyNumberFormat="1" applyFont="1" applyFill="1" applyBorder="1"/>
    <xf numFmtId="185" fontId="9" fillId="0" borderId="0" xfId="0" applyNumberFormat="1" applyFont="1" applyBorder="1"/>
    <xf numFmtId="177" fontId="9" fillId="0" borderId="0" xfId="0" applyNumberFormat="1" applyFont="1" applyBorder="1"/>
    <xf numFmtId="185" fontId="28" fillId="0" borderId="0" xfId="0" applyNumberFormat="1" applyFont="1" applyBorder="1"/>
    <xf numFmtId="182" fontId="9" fillId="0" borderId="0" xfId="0" applyNumberFormat="1" applyFont="1" applyBorder="1"/>
    <xf numFmtId="185" fontId="20" fillId="0" borderId="0" xfId="0" applyNumberFormat="1" applyFont="1" applyBorder="1"/>
    <xf numFmtId="0" fontId="9" fillId="2" borderId="0" xfId="0" applyFont="1" applyFill="1" applyAlignment="1">
      <alignment horizontal="left" vertical="center" wrapText="1"/>
    </xf>
    <xf numFmtId="0" fontId="190" fillId="75" borderId="84" xfId="0" applyFont="1" applyFill="1" applyBorder="1" applyAlignment="1">
      <alignment horizontal="center" vertical="center" wrapText="1"/>
    </xf>
    <xf numFmtId="0" fontId="190" fillId="75" borderId="72" xfId="0" applyFont="1" applyFill="1" applyBorder="1" applyAlignment="1">
      <alignment horizontal="center" vertical="center" wrapText="1"/>
    </xf>
    <xf numFmtId="0" fontId="190" fillId="75" borderId="85" xfId="0" applyFont="1" applyFill="1" applyBorder="1" applyAlignment="1">
      <alignment horizontal="center" vertical="center" wrapText="1"/>
    </xf>
    <xf numFmtId="0" fontId="9" fillId="0" borderId="0" xfId="0" applyFont="1" applyFill="1" applyAlignment="1">
      <alignment horizontal="left" vertical="center" wrapText="1"/>
    </xf>
    <xf numFmtId="0" fontId="190" fillId="75" borderId="71" xfId="0" applyFont="1" applyFill="1" applyBorder="1" applyAlignment="1">
      <alignment horizontal="center" vertical="center" wrapText="1"/>
    </xf>
    <xf numFmtId="0" fontId="193" fillId="75" borderId="81" xfId="0" applyFont="1" applyFill="1" applyBorder="1" applyAlignment="1">
      <alignment horizontal="center" vertical="center" wrapText="1"/>
    </xf>
    <xf numFmtId="0" fontId="193" fillId="75" borderId="71" xfId="0" applyFont="1" applyFill="1" applyBorder="1" applyAlignment="1">
      <alignment horizontal="center" vertical="center"/>
    </xf>
    <xf numFmtId="0" fontId="193" fillId="75" borderId="83" xfId="0" applyFont="1" applyFill="1" applyBorder="1" applyAlignment="1">
      <alignment horizontal="center" vertical="center"/>
    </xf>
    <xf numFmtId="0" fontId="193" fillId="75" borderId="71" xfId="0" applyFont="1" applyFill="1" applyBorder="1" applyAlignment="1">
      <alignment horizontal="center" vertical="center" wrapText="1"/>
    </xf>
    <xf numFmtId="0" fontId="193" fillId="75" borderId="83" xfId="0" applyFont="1" applyFill="1" applyBorder="1" applyAlignment="1">
      <alignment horizontal="center" vertical="center" wrapText="1"/>
    </xf>
    <xf numFmtId="0" fontId="193" fillId="75" borderId="3" xfId="0" applyFont="1" applyFill="1" applyBorder="1" applyAlignment="1">
      <alignment horizontal="center" vertical="center" wrapText="1"/>
    </xf>
    <xf numFmtId="0" fontId="193" fillId="75" borderId="0" xfId="0" applyFont="1" applyFill="1" applyBorder="1" applyAlignment="1">
      <alignment horizontal="center" vertical="center" wrapText="1"/>
    </xf>
    <xf numFmtId="0" fontId="193" fillId="75" borderId="9" xfId="0" applyFont="1" applyFill="1" applyBorder="1" applyAlignment="1">
      <alignment horizontal="center" vertical="center" wrapText="1"/>
    </xf>
    <xf numFmtId="0" fontId="193" fillId="75" borderId="0" xfId="0" applyFont="1" applyFill="1" applyBorder="1" applyAlignment="1">
      <alignment horizontal="center" vertical="center"/>
    </xf>
    <xf numFmtId="0" fontId="193" fillId="75" borderId="9" xfId="0" applyFont="1" applyFill="1" applyBorder="1" applyAlignment="1">
      <alignment horizontal="center" vertical="center"/>
    </xf>
    <xf numFmtId="0" fontId="193" fillId="75" borderId="4" xfId="0" applyFont="1" applyFill="1" applyBorder="1" applyAlignment="1">
      <alignment horizontal="center" vertical="center" wrapText="1"/>
    </xf>
    <xf numFmtId="0" fontId="193" fillId="75" borderId="50" xfId="0" applyFont="1" applyFill="1" applyBorder="1" applyAlignment="1">
      <alignment horizontal="center" vertical="center" wrapText="1"/>
    </xf>
    <xf numFmtId="0" fontId="16" fillId="0" borderId="0" xfId="0" applyFont="1" applyFill="1" applyAlignment="1">
      <alignment horizontal="left" vertical="top" wrapText="1"/>
    </xf>
    <xf numFmtId="0" fontId="193" fillId="75" borderId="51" xfId="0" applyFont="1" applyFill="1" applyBorder="1" applyAlignment="1">
      <alignment horizontal="center" vertical="center" wrapText="1"/>
    </xf>
    <xf numFmtId="0" fontId="193" fillId="75" borderId="14" xfId="0" applyFont="1" applyFill="1" applyBorder="1" applyAlignment="1">
      <alignment horizontal="center" vertical="center" wrapText="1"/>
    </xf>
    <xf numFmtId="0" fontId="59" fillId="81" borderId="4" xfId="0" applyFont="1" applyFill="1" applyBorder="1" applyAlignment="1">
      <alignment horizontal="center" vertical="center" wrapText="1"/>
    </xf>
    <xf numFmtId="0" fontId="59" fillId="81" borderId="50" xfId="0" applyFont="1" applyFill="1" applyBorder="1" applyAlignment="1">
      <alignment horizontal="center" vertical="center" wrapText="1"/>
    </xf>
    <xf numFmtId="0" fontId="59" fillId="81" borderId="51" xfId="0" applyFont="1" applyFill="1" applyBorder="1" applyAlignment="1">
      <alignment horizontal="center" vertical="center" wrapText="1"/>
    </xf>
    <xf numFmtId="0" fontId="59" fillId="81" borderId="14" xfId="0" applyFont="1" applyFill="1" applyBorder="1" applyAlignment="1">
      <alignment horizontal="center" vertical="center" wrapText="1"/>
    </xf>
    <xf numFmtId="0" fontId="59" fillId="81" borderId="16" xfId="0" applyFont="1" applyFill="1" applyBorder="1" applyAlignment="1">
      <alignment horizontal="center" vertical="center" wrapText="1"/>
    </xf>
    <xf numFmtId="0" fontId="59" fillId="81" borderId="18" xfId="0" applyFont="1" applyFill="1" applyBorder="1" applyAlignment="1">
      <alignment horizontal="center" vertical="center" wrapText="1"/>
    </xf>
    <xf numFmtId="0" fontId="59" fillId="0" borderId="6" xfId="0" applyFont="1" applyFill="1" applyBorder="1" applyAlignment="1">
      <alignment horizontal="center" vertical="center" wrapText="1"/>
    </xf>
    <xf numFmtId="0" fontId="59" fillId="0" borderId="7" xfId="0" applyFont="1" applyFill="1" applyBorder="1" applyAlignment="1">
      <alignment horizontal="center" vertical="center" wrapText="1"/>
    </xf>
    <xf numFmtId="0" fontId="59" fillId="0" borderId="51"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62" fillId="81" borderId="16" xfId="0" applyFont="1" applyFill="1" applyBorder="1" applyAlignment="1">
      <alignment horizontal="center" vertical="center" wrapText="1"/>
    </xf>
    <xf numFmtId="0" fontId="62" fillId="81" borderId="18"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62" fillId="81" borderId="51" xfId="0" applyFont="1" applyFill="1" applyBorder="1" applyAlignment="1">
      <alignment horizontal="center" vertical="center" wrapText="1"/>
    </xf>
    <xf numFmtId="0" fontId="62" fillId="81" borderId="14" xfId="0" applyFont="1" applyFill="1" applyBorder="1" applyAlignment="1">
      <alignment horizontal="center" vertical="center" wrapText="1"/>
    </xf>
    <xf numFmtId="0" fontId="14" fillId="81" borderId="16" xfId="0" applyFont="1" applyFill="1" applyBorder="1" applyAlignment="1">
      <alignment horizontal="center" vertical="center" wrapText="1"/>
    </xf>
    <xf numFmtId="0" fontId="14" fillId="81" borderId="18" xfId="0" applyFont="1" applyFill="1" applyBorder="1" applyAlignment="1">
      <alignment horizontal="center" vertical="center" wrapText="1"/>
    </xf>
  </cellXfs>
  <cellStyles count="42855">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37" xfId="42851"/>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35" xfId="42853"/>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12" xfId="42854"/>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15" xfId="42852"/>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03ACE5"/>
      <color rgb="FF1082BF"/>
      <color rgb="FF2E83BF"/>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5" name="Picture 1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0</xdr:row>
      <xdr:rowOff>1162050</xdr:rowOff>
    </xdr:to>
    <xdr:pic>
      <xdr:nvPicPr>
        <xdr:cNvPr id="4" name="Picture 1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1076325</xdr:colOff>
      <xdr:row>1</xdr:row>
      <xdr:rowOff>28575</xdr:rowOff>
    </xdr:to>
    <xdr:pic>
      <xdr:nvPicPr>
        <xdr:cNvPr id="3" name="Picture 1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drawing" Target="../drawings/drawing6.xml"/><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drawing" Target="../drawings/drawing7.xml"/><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FA56"/>
  <sheetViews>
    <sheetView showGridLines="0" zoomScale="115" zoomScaleNormal="115" zoomScaleSheetLayoutView="85" workbookViewId="0"/>
  </sheetViews>
  <sheetFormatPr defaultColWidth="9" defaultRowHeight="28.5" customHeight="1" outlineLevelCol="1"/>
  <cols>
    <col min="1" max="2" width="41.625" style="7" customWidth="1"/>
    <col min="3" max="8" width="9" style="6" hidden="1" customWidth="1" outlineLevel="1"/>
    <col min="9" max="9" width="9" style="77" hidden="1" customWidth="1" outlineLevel="1"/>
    <col min="10" max="10" width="9" style="78" hidden="1" customWidth="1" outlineLevel="1"/>
    <col min="11" max="13" width="10.125" style="6" hidden="1" customWidth="1" outlineLevel="1"/>
    <col min="14" max="16" width="9.125" style="6" hidden="1" customWidth="1" outlineLevel="1"/>
    <col min="17" max="24" width="10.125" style="6" hidden="1" customWidth="1" outlineLevel="1"/>
    <col min="25" max="25" width="10.125" style="46" hidden="1" customWidth="1" outlineLevel="1"/>
    <col min="26" max="29" width="10.125" style="6" hidden="1" customWidth="1" outlineLevel="1"/>
    <col min="30" max="30" width="10.125" style="46" hidden="1" customWidth="1" outlineLevel="1"/>
    <col min="31" max="32" width="10.125" style="6" hidden="1" customWidth="1" outlineLevel="1"/>
    <col min="33" max="33" width="10.125" style="6" customWidth="1" collapsed="1"/>
    <col min="34" max="34" width="10.125" style="6" customWidth="1"/>
    <col min="35" max="35" width="10.125" style="46" customWidth="1"/>
    <col min="36" max="36" width="10.125" style="6" customWidth="1"/>
    <col min="37" max="37" width="10.125" style="125" customWidth="1"/>
    <col min="38" max="38" width="4" style="251" customWidth="1"/>
    <col min="39" max="40" width="10.125" style="6" customWidth="1"/>
    <col min="41" max="41" width="10.125" style="46" customWidth="1"/>
    <col min="42" max="42" width="10.125" style="6" customWidth="1"/>
    <col min="43" max="43" width="10.125" style="6" bestFit="1" customWidth="1"/>
    <col min="44" max="45" width="10.125" style="6" customWidth="1"/>
    <col min="46" max="46" width="10.125" style="46" customWidth="1"/>
    <col min="47" max="47" width="10.125" style="6" customWidth="1"/>
    <col min="48" max="48" width="10.125" style="6" bestFit="1" customWidth="1"/>
    <col min="49" max="50" width="10.125" style="6" customWidth="1"/>
    <col min="51" max="51" width="10.125" style="46" customWidth="1"/>
    <col min="52" max="52" width="10.125" style="6" customWidth="1"/>
    <col min="53" max="53" width="10.125" style="6" bestFit="1" customWidth="1"/>
    <col min="54" max="55" width="10.125" style="6" customWidth="1"/>
    <col min="56" max="56" width="10.125" style="46" customWidth="1"/>
    <col min="57" max="57" width="10.125" style="6" customWidth="1"/>
    <col min="58" max="58" width="10.125" style="125" bestFit="1" customWidth="1"/>
    <col min="59" max="60" width="10.125" style="6" customWidth="1"/>
    <col min="61" max="61" width="10.125" style="46" customWidth="1"/>
    <col min="62" max="62" width="10.125" style="6" customWidth="1"/>
    <col min="63" max="63" width="10.125" style="6" bestFit="1" customWidth="1"/>
    <col min="64" max="16384" width="9" style="7"/>
  </cols>
  <sheetData>
    <row r="1" spans="1:63" s="10" customFormat="1" ht="89.25" customHeight="1">
      <c r="A1" s="290"/>
      <c r="B1" s="5"/>
      <c r="C1" s="8"/>
      <c r="D1" s="8"/>
      <c r="E1" s="8"/>
      <c r="F1" s="8"/>
      <c r="G1" s="8"/>
      <c r="H1" s="8"/>
      <c r="I1" s="54"/>
      <c r="J1" s="9"/>
      <c r="K1" s="8"/>
      <c r="L1" s="8"/>
      <c r="M1" s="8"/>
      <c r="N1" s="8"/>
      <c r="O1" s="8"/>
      <c r="P1" s="8"/>
      <c r="Q1" s="8"/>
      <c r="R1" s="8"/>
      <c r="S1" s="8"/>
      <c r="T1" s="8"/>
      <c r="U1" s="55"/>
      <c r="V1" s="55"/>
      <c r="W1" s="55"/>
      <c r="X1" s="55"/>
      <c r="Y1" s="261"/>
      <c r="Z1" s="55"/>
      <c r="AA1" s="55"/>
      <c r="AB1" s="55"/>
      <c r="AC1" s="55"/>
      <c r="AD1" s="261"/>
      <c r="AE1" s="55"/>
      <c r="AF1" s="55"/>
      <c r="AG1" s="55"/>
      <c r="AH1" s="57"/>
      <c r="AI1" s="261"/>
      <c r="AJ1" s="55"/>
      <c r="AK1" s="122"/>
      <c r="AL1" s="11"/>
      <c r="AM1" s="55"/>
      <c r="AN1" s="55"/>
      <c r="AO1" s="261"/>
      <c r="AP1" s="55"/>
      <c r="AQ1" s="55"/>
      <c r="AR1" s="55"/>
      <c r="AS1" s="55"/>
      <c r="AT1" s="261"/>
      <c r="AU1" s="55"/>
      <c r="AV1" s="55"/>
      <c r="AW1" s="55"/>
      <c r="AX1" s="55"/>
      <c r="AY1" s="261"/>
      <c r="AZ1" s="55"/>
      <c r="BA1" s="55"/>
      <c r="BB1" s="55"/>
      <c r="BC1" s="55"/>
      <c r="BD1" s="261"/>
      <c r="BE1" s="55"/>
      <c r="BF1" s="122"/>
      <c r="BG1" s="55"/>
      <c r="BH1" s="55"/>
      <c r="BI1" s="261"/>
      <c r="BJ1" s="55"/>
      <c r="BK1" s="55"/>
    </row>
    <row r="2" spans="1:63" s="624" customFormat="1" ht="32.1" customHeight="1">
      <c r="A2" s="687" t="s">
        <v>0</v>
      </c>
      <c r="B2" s="684" t="s">
        <v>1</v>
      </c>
      <c r="C2" s="706">
        <v>2012</v>
      </c>
      <c r="D2" s="706"/>
      <c r="E2" s="706"/>
      <c r="F2" s="706"/>
      <c r="G2" s="707"/>
      <c r="H2" s="706">
        <v>2013</v>
      </c>
      <c r="I2" s="706"/>
      <c r="J2" s="706"/>
      <c r="K2" s="706"/>
      <c r="L2" s="707"/>
      <c r="M2" s="705">
        <v>2014</v>
      </c>
      <c r="N2" s="706"/>
      <c r="O2" s="706"/>
      <c r="P2" s="706"/>
      <c r="Q2" s="707"/>
      <c r="R2" s="705">
        <v>2015</v>
      </c>
      <c r="S2" s="706"/>
      <c r="T2" s="706"/>
      <c r="U2" s="706"/>
      <c r="V2" s="707"/>
      <c r="W2" s="705">
        <v>2016</v>
      </c>
      <c r="X2" s="706"/>
      <c r="Y2" s="706"/>
      <c r="Z2" s="706"/>
      <c r="AA2" s="707"/>
      <c r="AB2" s="705">
        <v>2017</v>
      </c>
      <c r="AC2" s="706"/>
      <c r="AD2" s="706"/>
      <c r="AE2" s="706"/>
      <c r="AF2" s="707"/>
      <c r="AG2" s="705" t="s">
        <v>511</v>
      </c>
      <c r="AH2" s="706"/>
      <c r="AI2" s="706"/>
      <c r="AJ2" s="706"/>
      <c r="AK2" s="707"/>
      <c r="AL2" s="251"/>
      <c r="AM2" s="705" t="s">
        <v>513</v>
      </c>
      <c r="AN2" s="706"/>
      <c r="AO2" s="706"/>
      <c r="AP2" s="706"/>
      <c r="AQ2" s="707"/>
      <c r="AR2" s="705" t="s">
        <v>514</v>
      </c>
      <c r="AS2" s="706"/>
      <c r="AT2" s="706"/>
      <c r="AU2" s="706"/>
      <c r="AV2" s="707"/>
      <c r="AW2" s="705" t="s">
        <v>515</v>
      </c>
      <c r="AX2" s="706"/>
      <c r="AY2" s="706"/>
      <c r="AZ2" s="706"/>
      <c r="BA2" s="707"/>
      <c r="BB2" s="705" t="s">
        <v>2</v>
      </c>
      <c r="BC2" s="706"/>
      <c r="BD2" s="706"/>
      <c r="BE2" s="706"/>
      <c r="BF2" s="707"/>
      <c r="BG2" s="705" t="s">
        <v>3</v>
      </c>
      <c r="BH2" s="706"/>
      <c r="BI2" s="706"/>
      <c r="BJ2" s="706"/>
      <c r="BK2" s="707"/>
    </row>
    <row r="3" spans="1:63" s="624" customFormat="1" ht="32.1" customHeight="1">
      <c r="A3" s="571"/>
      <c r="B3" s="684"/>
      <c r="C3" s="658"/>
      <c r="D3" s="658"/>
      <c r="E3" s="658"/>
      <c r="F3" s="658"/>
      <c r="G3" s="685"/>
      <c r="H3" s="658"/>
      <c r="I3" s="658"/>
      <c r="J3" s="658"/>
      <c r="K3" s="658"/>
      <c r="L3" s="658"/>
      <c r="M3" s="686"/>
      <c r="N3" s="658"/>
      <c r="O3" s="658"/>
      <c r="P3" s="658"/>
      <c r="Q3" s="685"/>
      <c r="R3" s="658"/>
      <c r="S3" s="658"/>
      <c r="T3" s="658"/>
      <c r="U3" s="658"/>
      <c r="V3" s="685"/>
      <c r="W3" s="658"/>
      <c r="X3" s="658"/>
      <c r="Y3" s="658"/>
      <c r="Z3" s="658"/>
      <c r="AA3" s="685"/>
      <c r="AB3" s="658"/>
      <c r="AC3" s="658"/>
      <c r="AD3" s="658"/>
      <c r="AE3" s="658"/>
      <c r="AF3" s="685"/>
      <c r="AG3" s="705" t="s">
        <v>512</v>
      </c>
      <c r="AH3" s="706"/>
      <c r="AI3" s="706"/>
      <c r="AJ3" s="706"/>
      <c r="AK3" s="707"/>
      <c r="AL3" s="251"/>
      <c r="AM3" s="705" t="s">
        <v>516</v>
      </c>
      <c r="AN3" s="706"/>
      <c r="AO3" s="706"/>
      <c r="AP3" s="706"/>
      <c r="AQ3" s="707"/>
      <c r="AR3" s="705" t="s">
        <v>517</v>
      </c>
      <c r="AS3" s="706"/>
      <c r="AT3" s="706"/>
      <c r="AU3" s="706"/>
      <c r="AV3" s="707"/>
      <c r="AW3" s="705" t="s">
        <v>4</v>
      </c>
      <c r="AX3" s="706"/>
      <c r="AY3" s="706"/>
      <c r="AZ3" s="706"/>
      <c r="BA3" s="707"/>
      <c r="BB3" s="705" t="s">
        <v>5</v>
      </c>
      <c r="BC3" s="706"/>
      <c r="BD3" s="706"/>
      <c r="BE3" s="706"/>
      <c r="BF3" s="707"/>
      <c r="BG3" s="705" t="s">
        <v>6</v>
      </c>
      <c r="BH3" s="706"/>
      <c r="BI3" s="706"/>
      <c r="BJ3" s="706"/>
      <c r="BK3" s="707"/>
    </row>
    <row r="4" spans="1:63" s="629" customFormat="1" ht="16.5" customHeight="1">
      <c r="A4" s="573" t="s">
        <v>7</v>
      </c>
      <c r="B4" s="688" t="s">
        <v>7</v>
      </c>
      <c r="C4" s="575" t="s">
        <v>8</v>
      </c>
      <c r="D4" s="575" t="s">
        <v>9</v>
      </c>
      <c r="E4" s="575" t="s">
        <v>10</v>
      </c>
      <c r="F4" s="575" t="s">
        <v>11</v>
      </c>
      <c r="G4" s="689">
        <v>2012</v>
      </c>
      <c r="H4" s="690" t="s">
        <v>8</v>
      </c>
      <c r="I4" s="575" t="s">
        <v>9</v>
      </c>
      <c r="J4" s="575" t="s">
        <v>10</v>
      </c>
      <c r="K4" s="575" t="s">
        <v>11</v>
      </c>
      <c r="L4" s="689">
        <v>2013</v>
      </c>
      <c r="M4" s="690" t="s">
        <v>8</v>
      </c>
      <c r="N4" s="575" t="s">
        <v>9</v>
      </c>
      <c r="O4" s="575" t="s">
        <v>10</v>
      </c>
      <c r="P4" s="575" t="s">
        <v>11</v>
      </c>
      <c r="Q4" s="691">
        <v>2014</v>
      </c>
      <c r="R4" s="575" t="s">
        <v>8</v>
      </c>
      <c r="S4" s="575" t="s">
        <v>9</v>
      </c>
      <c r="T4" s="575" t="s">
        <v>10</v>
      </c>
      <c r="U4" s="575" t="s">
        <v>11</v>
      </c>
      <c r="V4" s="691">
        <v>2015</v>
      </c>
      <c r="W4" s="575" t="s">
        <v>509</v>
      </c>
      <c r="X4" s="575" t="s">
        <v>9</v>
      </c>
      <c r="Y4" s="576" t="s">
        <v>10</v>
      </c>
      <c r="Z4" s="575" t="s">
        <v>11</v>
      </c>
      <c r="AA4" s="691" t="s">
        <v>510</v>
      </c>
      <c r="AB4" s="575" t="s">
        <v>8</v>
      </c>
      <c r="AC4" s="575" t="s">
        <v>9</v>
      </c>
      <c r="AD4" s="576" t="s">
        <v>10</v>
      </c>
      <c r="AE4" s="575" t="s">
        <v>11</v>
      </c>
      <c r="AF4" s="691">
        <v>2017</v>
      </c>
      <c r="AG4" s="575" t="s">
        <v>8</v>
      </c>
      <c r="AH4" s="575" t="s">
        <v>9</v>
      </c>
      <c r="AI4" s="576" t="s">
        <v>10</v>
      </c>
      <c r="AJ4" s="575" t="s">
        <v>11</v>
      </c>
      <c r="AK4" s="691">
        <v>2018</v>
      </c>
      <c r="AL4" s="20"/>
      <c r="AM4" s="690" t="s">
        <v>8</v>
      </c>
      <c r="AN4" s="575" t="s">
        <v>9</v>
      </c>
      <c r="AO4" s="576" t="s">
        <v>10</v>
      </c>
      <c r="AP4" s="575" t="s">
        <v>11</v>
      </c>
      <c r="AQ4" s="691">
        <v>2018</v>
      </c>
      <c r="AR4" s="690" t="s">
        <v>8</v>
      </c>
      <c r="AS4" s="575" t="s">
        <v>9</v>
      </c>
      <c r="AT4" s="576" t="s">
        <v>10</v>
      </c>
      <c r="AU4" s="575" t="s">
        <v>11</v>
      </c>
      <c r="AV4" s="691" t="s">
        <v>405</v>
      </c>
      <c r="AW4" s="690" t="s">
        <v>8</v>
      </c>
      <c r="AX4" s="575" t="s">
        <v>9</v>
      </c>
      <c r="AY4" s="576" t="s">
        <v>10</v>
      </c>
      <c r="AZ4" s="575" t="s">
        <v>11</v>
      </c>
      <c r="BA4" s="691" t="s">
        <v>405</v>
      </c>
      <c r="BB4" s="690" t="s">
        <v>8</v>
      </c>
      <c r="BC4" s="575" t="s">
        <v>9</v>
      </c>
      <c r="BD4" s="576" t="s">
        <v>10</v>
      </c>
      <c r="BE4" s="575" t="s">
        <v>11</v>
      </c>
      <c r="BF4" s="691" t="s">
        <v>406</v>
      </c>
      <c r="BG4" s="690" t="s">
        <v>8</v>
      </c>
      <c r="BH4" s="575" t="s">
        <v>9</v>
      </c>
      <c r="BI4" s="576" t="s">
        <v>10</v>
      </c>
      <c r="BJ4" s="575" t="s">
        <v>11</v>
      </c>
      <c r="BK4" s="691" t="s">
        <v>407</v>
      </c>
    </row>
    <row r="5" spans="1:63" s="599" customFormat="1" ht="34.5" customHeight="1">
      <c r="A5" s="592" t="s">
        <v>14</v>
      </c>
      <c r="B5" s="593" t="s">
        <v>15</v>
      </c>
      <c r="C5" s="594">
        <f>SUM(C6:C9)</f>
        <v>669.2</v>
      </c>
      <c r="D5" s="594">
        <f t="shared" ref="D5:P5" si="0">SUM(D6:D9)</f>
        <v>713.8</v>
      </c>
      <c r="E5" s="594">
        <f t="shared" si="0"/>
        <v>644.5</v>
      </c>
      <c r="F5" s="594">
        <f t="shared" si="0"/>
        <v>750.60000000000014</v>
      </c>
      <c r="G5" s="595">
        <f>SUM(G6:G9)</f>
        <v>2778.0999999999995</v>
      </c>
      <c r="H5" s="596">
        <f t="shared" si="0"/>
        <v>697.1</v>
      </c>
      <c r="I5" s="594">
        <f t="shared" si="0"/>
        <v>735.9</v>
      </c>
      <c r="J5" s="594">
        <f t="shared" si="0"/>
        <v>677.3</v>
      </c>
      <c r="K5" s="594">
        <f t="shared" si="0"/>
        <v>800.5</v>
      </c>
      <c r="L5" s="595">
        <f>SUM(L6:L9)</f>
        <v>2910.8</v>
      </c>
      <c r="M5" s="596">
        <f t="shared" si="0"/>
        <v>723.29999999999984</v>
      </c>
      <c r="N5" s="594">
        <f t="shared" si="0"/>
        <v>1745.9</v>
      </c>
      <c r="O5" s="594">
        <f t="shared" si="0"/>
        <v>2419.6</v>
      </c>
      <c r="P5" s="594">
        <f t="shared" si="0"/>
        <v>2521.1000000000004</v>
      </c>
      <c r="Q5" s="595">
        <f>SUM(Q6:Q9)</f>
        <v>7409.9</v>
      </c>
      <c r="R5" s="594">
        <f t="shared" ref="R5:U5" si="1">SUM(R6:R9)</f>
        <v>2329</v>
      </c>
      <c r="S5" s="594">
        <f t="shared" si="1"/>
        <v>2469.1999999999998</v>
      </c>
      <c r="T5" s="594">
        <f t="shared" si="1"/>
        <v>2414.8999999999996</v>
      </c>
      <c r="U5" s="594">
        <f t="shared" si="1"/>
        <v>2609.9</v>
      </c>
      <c r="V5" s="595">
        <f>SUM(V6:V9)</f>
        <v>9823</v>
      </c>
      <c r="W5" s="594">
        <f t="shared" ref="W5:Z5" si="2">SUM(W6:W9)</f>
        <v>2364</v>
      </c>
      <c r="X5" s="594">
        <f t="shared" si="2"/>
        <v>2442.9</v>
      </c>
      <c r="Y5" s="597">
        <f t="shared" si="2"/>
        <v>2387.8000000000002</v>
      </c>
      <c r="Z5" s="597">
        <f t="shared" si="2"/>
        <v>2535.1</v>
      </c>
      <c r="AA5" s="595">
        <f>SUM(AA6:AA9)</f>
        <v>9729.7999999999993</v>
      </c>
      <c r="AB5" s="594">
        <f t="shared" ref="AB5:AF5" si="3">SUM(AB6:AB9)</f>
        <v>2388.6</v>
      </c>
      <c r="AC5" s="594">
        <f t="shared" si="3"/>
        <v>2469.9</v>
      </c>
      <c r="AD5" s="594">
        <f t="shared" si="3"/>
        <v>2390.9</v>
      </c>
      <c r="AE5" s="594">
        <f t="shared" si="3"/>
        <v>2579.1999999999998</v>
      </c>
      <c r="AF5" s="595">
        <f t="shared" si="3"/>
        <v>9828.6</v>
      </c>
      <c r="AG5" s="594">
        <f>SUM(AG6:AG9)</f>
        <v>2360.6999999999998</v>
      </c>
      <c r="AH5" s="594">
        <f>SUM(AH6:AH9)</f>
        <v>2476.9</v>
      </c>
      <c r="AI5" s="594">
        <f>SUM(AI6:AI9)</f>
        <v>2435.4</v>
      </c>
      <c r="AJ5" s="598">
        <f t="shared" ref="AJ5:AK5" si="4">SUM(AJ6:AJ9)</f>
        <v>2682</v>
      </c>
      <c r="AK5" s="595">
        <f t="shared" si="4"/>
        <v>9955</v>
      </c>
      <c r="AL5" s="564"/>
      <c r="AM5" s="596">
        <f>SUM(AM6:AM9)</f>
        <v>2345.9</v>
      </c>
      <c r="AN5" s="594">
        <f>SUM(AN6:AN9)</f>
        <v>2603.1999999999998</v>
      </c>
      <c r="AO5" s="594">
        <f>SUM(AO6:AO9)</f>
        <v>2735</v>
      </c>
      <c r="AP5" s="598">
        <f t="shared" ref="AP5:AQ5" si="5">SUM(AP6:AP9)</f>
        <v>3002</v>
      </c>
      <c r="AQ5" s="595">
        <f t="shared" si="5"/>
        <v>10686.100000000002</v>
      </c>
      <c r="AR5" s="596">
        <f>SUM(AR6:AR9)</f>
        <v>2782.4</v>
      </c>
      <c r="AS5" s="594">
        <f>SUM(AS6:AS9)</f>
        <v>2913</v>
      </c>
      <c r="AT5" s="594">
        <f>SUM(AT6:AT9)</f>
        <v>2882.3</v>
      </c>
      <c r="AU5" s="594">
        <f>SUM(AU6:AU9)</f>
        <v>3059.0000000000005</v>
      </c>
      <c r="AV5" s="595">
        <f t="shared" ref="AV5" si="6">SUM(AV6:AV9)</f>
        <v>11636.7</v>
      </c>
      <c r="AW5" s="596">
        <f>SUM(AW6:AW9)</f>
        <v>2791.6</v>
      </c>
      <c r="AX5" s="594">
        <f>SUM(AX6:AX9)</f>
        <v>2923</v>
      </c>
      <c r="AY5" s="594">
        <f>SUM(AY6:AY9)</f>
        <v>2892.4</v>
      </c>
      <c r="AZ5" s="594">
        <f>SUM(AZ6:AZ9)</f>
        <v>3069.1000000000004</v>
      </c>
      <c r="BA5" s="595">
        <f t="shared" ref="BA5" si="7">SUM(BA6:BA9)</f>
        <v>11676.1</v>
      </c>
      <c r="BB5" s="596">
        <f>SUM(BB6:BB9)</f>
        <v>2848.4999999999995</v>
      </c>
      <c r="BC5" s="594">
        <f>SUM(BC6:BC9)</f>
        <v>2862.7000000000003</v>
      </c>
      <c r="BD5" s="594">
        <f>SUM(BD6:BD9)</f>
        <v>3003.5</v>
      </c>
      <c r="BE5" s="594">
        <f>SUM(BE6:BE9)</f>
        <v>3248.2000000000003</v>
      </c>
      <c r="BF5" s="595">
        <f t="shared" ref="BF5" si="8">SUM(BF6:BF9)</f>
        <v>11962.9</v>
      </c>
      <c r="BG5" s="596">
        <f>SUM(BG6:BG9)</f>
        <v>2987.4</v>
      </c>
      <c r="BH5" s="594">
        <f>SUM(BH6:BH9)</f>
        <v>3159.7000000000003</v>
      </c>
      <c r="BI5" s="694">
        <f>SUM(BI6:BI9)</f>
        <v>0</v>
      </c>
      <c r="BJ5" s="694">
        <f>SUM(BJ6:BJ9)</f>
        <v>0</v>
      </c>
      <c r="BK5" s="595">
        <f t="shared" ref="BK5" si="9">SUM(BK6:BK9)</f>
        <v>6147.0999999999995</v>
      </c>
    </row>
    <row r="6" spans="1:63" s="20" customFormat="1" ht="30" customHeight="1">
      <c r="A6" s="56" t="s">
        <v>16</v>
      </c>
      <c r="B6" s="138" t="s">
        <v>17</v>
      </c>
      <c r="C6" s="57">
        <v>424</v>
      </c>
      <c r="D6" s="57">
        <v>427.1</v>
      </c>
      <c r="E6" s="57">
        <v>434.4</v>
      </c>
      <c r="F6" s="57">
        <v>446.6</v>
      </c>
      <c r="G6" s="291">
        <f>SUM(C6:F6)</f>
        <v>1732.1</v>
      </c>
      <c r="H6" s="58">
        <v>451.7</v>
      </c>
      <c r="I6" s="57">
        <v>452</v>
      </c>
      <c r="J6" s="57">
        <v>460.3</v>
      </c>
      <c r="K6" s="57">
        <v>466.1</v>
      </c>
      <c r="L6" s="291">
        <f>SUM(H6:K6)</f>
        <v>1830.1</v>
      </c>
      <c r="M6" s="58">
        <v>467.79999999999995</v>
      </c>
      <c r="N6" s="57">
        <v>1204.5</v>
      </c>
      <c r="O6" s="57">
        <v>1710.7</v>
      </c>
      <c r="P6" s="57">
        <v>1701.7</v>
      </c>
      <c r="Q6" s="291">
        <f>SUM(M6:P6)</f>
        <v>5084.7</v>
      </c>
      <c r="R6" s="57">
        <v>1637.2</v>
      </c>
      <c r="S6" s="57">
        <v>1652</v>
      </c>
      <c r="T6" s="57">
        <v>1643.3</v>
      </c>
      <c r="U6" s="565">
        <v>1620.6</v>
      </c>
      <c r="V6" s="291">
        <v>6553.1</v>
      </c>
      <c r="W6" s="59">
        <v>1565.7</v>
      </c>
      <c r="X6" s="59">
        <v>1586.9</v>
      </c>
      <c r="Y6" s="42">
        <v>1583.7</v>
      </c>
      <c r="Z6" s="565">
        <v>1589</v>
      </c>
      <c r="AA6" s="291">
        <f>SUM(W6:Z6)</f>
        <v>6325.3</v>
      </c>
      <c r="AB6" s="59">
        <v>1542.7</v>
      </c>
      <c r="AC6" s="59">
        <v>1533.3</v>
      </c>
      <c r="AD6" s="42">
        <v>1494</v>
      </c>
      <c r="AE6" s="42">
        <v>1497.9</v>
      </c>
      <c r="AF6" s="291">
        <f>SUM(AB6:AE6)</f>
        <v>6067.9</v>
      </c>
      <c r="AG6" s="59">
        <v>1470.2</v>
      </c>
      <c r="AH6" s="57">
        <v>1483.8</v>
      </c>
      <c r="AI6" s="57">
        <v>1481.7</v>
      </c>
      <c r="AJ6" s="42">
        <v>1484.8</v>
      </c>
      <c r="AK6" s="291">
        <f>SUM(AG6:AJ6)</f>
        <v>5920.5</v>
      </c>
      <c r="AL6" s="566"/>
      <c r="AM6" s="126">
        <v>1352.2</v>
      </c>
      <c r="AN6" s="57">
        <v>1482.1</v>
      </c>
      <c r="AO6" s="57">
        <v>1630.5</v>
      </c>
      <c r="AP6" s="42">
        <v>1627.8000000000002</v>
      </c>
      <c r="AQ6" s="291">
        <f>SUM(AM6:AP6)</f>
        <v>6092.6</v>
      </c>
      <c r="AR6" s="42">
        <v>1606</v>
      </c>
      <c r="AS6" s="57">
        <v>1616.1</v>
      </c>
      <c r="AT6" s="57">
        <v>1618.3</v>
      </c>
      <c r="AU6" s="42">
        <v>1618.4</v>
      </c>
      <c r="AV6" s="291">
        <f>SUM(AR6:AU6)</f>
        <v>6458.7999999999993</v>
      </c>
      <c r="AW6" s="128">
        <v>1606</v>
      </c>
      <c r="AX6" s="57">
        <v>1616.1</v>
      </c>
      <c r="AY6" s="57">
        <v>1618.3</v>
      </c>
      <c r="AZ6" s="42">
        <v>1618.4</v>
      </c>
      <c r="BA6" s="291">
        <f>SUM(AW6:AZ6)</f>
        <v>6458.7999999999993</v>
      </c>
      <c r="BB6" s="128">
        <v>1604.5</v>
      </c>
      <c r="BC6" s="57">
        <v>1592</v>
      </c>
      <c r="BD6" s="57">
        <v>1623.8</v>
      </c>
      <c r="BE6" s="42">
        <v>1660.1</v>
      </c>
      <c r="BF6" s="522">
        <f>SUM(BB6:BE6)</f>
        <v>6480.4</v>
      </c>
      <c r="BG6" s="128">
        <v>1664.1</v>
      </c>
      <c r="BH6" s="57">
        <v>1664.8</v>
      </c>
      <c r="BI6" s="57"/>
      <c r="BJ6" s="42"/>
      <c r="BK6" s="291">
        <f>SUM(BG6:BJ6)</f>
        <v>3328.8999999999996</v>
      </c>
    </row>
    <row r="7" spans="1:63" ht="20.100000000000001" customHeight="1">
      <c r="A7" s="56" t="s">
        <v>18</v>
      </c>
      <c r="B7" s="138" t="s">
        <v>19</v>
      </c>
      <c r="C7" s="57">
        <v>234.6</v>
      </c>
      <c r="D7" s="57">
        <v>272.7</v>
      </c>
      <c r="E7" s="57">
        <v>198</v>
      </c>
      <c r="F7" s="57">
        <v>286.3</v>
      </c>
      <c r="G7" s="291">
        <f t="shared" ref="G7:G9" si="10">SUM(C7:F7)</f>
        <v>991.59999999999991</v>
      </c>
      <c r="H7" s="58">
        <v>223.8</v>
      </c>
      <c r="I7" s="57">
        <v>265.2</v>
      </c>
      <c r="J7" s="57">
        <v>204</v>
      </c>
      <c r="K7" s="57">
        <v>317.2</v>
      </c>
      <c r="L7" s="291">
        <f t="shared" ref="L7:L9" si="11">SUM(H7:K7)</f>
        <v>1010.2</v>
      </c>
      <c r="M7" s="58">
        <v>242.19999999999993</v>
      </c>
      <c r="N7" s="57">
        <v>479.1</v>
      </c>
      <c r="O7" s="57">
        <v>591.6</v>
      </c>
      <c r="P7" s="57">
        <v>641.1</v>
      </c>
      <c r="Q7" s="291">
        <f t="shared" ref="Q7:Q9" si="12">SUM(M7:P7)</f>
        <v>1954</v>
      </c>
      <c r="R7" s="57">
        <v>553.29999999999995</v>
      </c>
      <c r="S7" s="57">
        <v>688.7</v>
      </c>
      <c r="T7" s="57">
        <v>616.9</v>
      </c>
      <c r="U7" s="60">
        <v>738</v>
      </c>
      <c r="V7" s="291">
        <v>2596.9</v>
      </c>
      <c r="W7" s="59">
        <v>599.79999999999995</v>
      </c>
      <c r="X7" s="59">
        <v>645</v>
      </c>
      <c r="Y7" s="42">
        <v>562.9</v>
      </c>
      <c r="Z7" s="60">
        <v>658.4</v>
      </c>
      <c r="AA7" s="291">
        <f t="shared" ref="AA7:AA29" si="13">SUM(W7:Z7)</f>
        <v>2466.1</v>
      </c>
      <c r="AB7" s="59">
        <v>562.1</v>
      </c>
      <c r="AC7" s="59">
        <v>652.29999999999995</v>
      </c>
      <c r="AD7" s="42">
        <v>588.4</v>
      </c>
      <c r="AE7" s="42">
        <v>735.8</v>
      </c>
      <c r="AF7" s="291">
        <f t="shared" ref="AF7:AF29" si="14">SUM(AB7:AE7)</f>
        <v>2538.6000000000004</v>
      </c>
      <c r="AG7" s="59">
        <v>635.9</v>
      </c>
      <c r="AH7" s="57">
        <v>708.5</v>
      </c>
      <c r="AI7" s="57">
        <v>677.7</v>
      </c>
      <c r="AJ7" s="42">
        <v>860.1</v>
      </c>
      <c r="AK7" s="291">
        <f t="shared" ref="AK7:AK9" si="15">SUM(AG7:AJ7)</f>
        <v>2882.2000000000003</v>
      </c>
      <c r="AL7" s="699"/>
      <c r="AM7" s="126">
        <v>635.9</v>
      </c>
      <c r="AN7" s="57">
        <v>738.5</v>
      </c>
      <c r="AO7" s="57">
        <v>741.6</v>
      </c>
      <c r="AP7" s="42">
        <v>927.80000000000018</v>
      </c>
      <c r="AQ7" s="291">
        <f t="shared" ref="AQ7:AQ9" si="16">SUM(AM7:AP7)</f>
        <v>3043.8</v>
      </c>
      <c r="AR7" s="42">
        <v>772.7</v>
      </c>
      <c r="AS7" s="57">
        <v>861.6</v>
      </c>
      <c r="AT7" s="57">
        <v>790.5</v>
      </c>
      <c r="AU7" s="42">
        <v>925.4</v>
      </c>
      <c r="AV7" s="291">
        <f t="shared" ref="AV7:AV9" si="17">SUM(AR7:AU7)</f>
        <v>3350.2000000000003</v>
      </c>
      <c r="AW7" s="128">
        <v>772.7</v>
      </c>
      <c r="AX7" s="57">
        <v>861.6</v>
      </c>
      <c r="AY7" s="57">
        <v>790.5</v>
      </c>
      <c r="AZ7" s="42">
        <v>925.4</v>
      </c>
      <c r="BA7" s="291">
        <f t="shared" ref="BA7:BA9" si="18">SUM(AW7:AZ7)</f>
        <v>3350.2000000000003</v>
      </c>
      <c r="BB7" s="128">
        <v>823.7</v>
      </c>
      <c r="BC7" s="57">
        <v>802.5</v>
      </c>
      <c r="BD7" s="57">
        <v>856.6</v>
      </c>
      <c r="BE7" s="42">
        <v>1043.9000000000001</v>
      </c>
      <c r="BF7" s="522">
        <f t="shared" ref="BF7:BF9" si="19">SUM(BB7:BE7)</f>
        <v>3526.7000000000003</v>
      </c>
      <c r="BG7" s="128">
        <v>880.7</v>
      </c>
      <c r="BH7" s="57">
        <v>964.2</v>
      </c>
      <c r="BI7" s="57"/>
      <c r="BJ7" s="42"/>
      <c r="BK7" s="291">
        <f t="shared" ref="BK7:BK9" si="20">SUM(BG7:BJ7)</f>
        <v>1844.9</v>
      </c>
    </row>
    <row r="8" spans="1:63" ht="20.100000000000001" customHeight="1">
      <c r="A8" s="56" t="s">
        <v>20</v>
      </c>
      <c r="B8" s="138" t="s">
        <v>21</v>
      </c>
      <c r="C8" s="57">
        <v>2.7</v>
      </c>
      <c r="D8" s="57">
        <v>6.2</v>
      </c>
      <c r="E8" s="57">
        <v>2.6</v>
      </c>
      <c r="F8" s="57">
        <v>7.2</v>
      </c>
      <c r="G8" s="291">
        <f t="shared" si="10"/>
        <v>18.7</v>
      </c>
      <c r="H8" s="58">
        <v>13.1</v>
      </c>
      <c r="I8" s="57">
        <v>11.8</v>
      </c>
      <c r="J8" s="57">
        <v>7.1</v>
      </c>
      <c r="K8" s="57">
        <v>9.6999999999999993</v>
      </c>
      <c r="L8" s="291">
        <f t="shared" si="11"/>
        <v>41.7</v>
      </c>
      <c r="M8" s="58">
        <v>7.8999999999999986</v>
      </c>
      <c r="N8" s="57">
        <v>55.4</v>
      </c>
      <c r="O8" s="57">
        <v>104.1</v>
      </c>
      <c r="P8" s="57">
        <v>159.9</v>
      </c>
      <c r="Q8" s="291">
        <f t="shared" si="12"/>
        <v>327.29999999999995</v>
      </c>
      <c r="R8" s="57">
        <v>118.4</v>
      </c>
      <c r="S8" s="57">
        <v>106.9</v>
      </c>
      <c r="T8" s="57">
        <v>131.19999999999999</v>
      </c>
      <c r="U8" s="60">
        <v>226.89999999999998</v>
      </c>
      <c r="V8" s="291">
        <v>583.4</v>
      </c>
      <c r="W8" s="59">
        <v>172.8</v>
      </c>
      <c r="X8" s="59">
        <v>191.1</v>
      </c>
      <c r="Y8" s="42">
        <v>221.3</v>
      </c>
      <c r="Z8" s="60">
        <v>265.60000000000002</v>
      </c>
      <c r="AA8" s="291">
        <f t="shared" si="13"/>
        <v>850.80000000000007</v>
      </c>
      <c r="AB8" s="59">
        <v>248.6</v>
      </c>
      <c r="AC8" s="59">
        <v>243.3</v>
      </c>
      <c r="AD8" s="42">
        <v>264.5</v>
      </c>
      <c r="AE8" s="42">
        <v>298.8</v>
      </c>
      <c r="AF8" s="291">
        <f t="shared" si="14"/>
        <v>1055.2</v>
      </c>
      <c r="AG8" s="59">
        <v>208.6</v>
      </c>
      <c r="AH8" s="57">
        <v>239</v>
      </c>
      <c r="AI8" s="57">
        <v>237.6</v>
      </c>
      <c r="AJ8" s="42">
        <v>286.2</v>
      </c>
      <c r="AK8" s="291">
        <f t="shared" si="15"/>
        <v>971.40000000000009</v>
      </c>
      <c r="AL8" s="699"/>
      <c r="AM8" s="126">
        <v>317.5</v>
      </c>
      <c r="AN8" s="57">
        <v>341.7</v>
      </c>
      <c r="AO8" s="57">
        <v>328.6</v>
      </c>
      <c r="AP8" s="42">
        <v>398.20000000000005</v>
      </c>
      <c r="AQ8" s="291">
        <f t="shared" si="16"/>
        <v>1386</v>
      </c>
      <c r="AR8" s="42">
        <v>347.4</v>
      </c>
      <c r="AS8" s="57">
        <v>379.3</v>
      </c>
      <c r="AT8" s="57">
        <v>412.9</v>
      </c>
      <c r="AU8" s="42">
        <v>445.4</v>
      </c>
      <c r="AV8" s="291">
        <f t="shared" si="17"/>
        <v>1585</v>
      </c>
      <c r="AW8" s="128">
        <v>347.4</v>
      </c>
      <c r="AX8" s="57">
        <v>379.3</v>
      </c>
      <c r="AY8" s="57">
        <v>412.9</v>
      </c>
      <c r="AZ8" s="42">
        <v>445.4</v>
      </c>
      <c r="BA8" s="291">
        <f t="shared" si="18"/>
        <v>1585</v>
      </c>
      <c r="BB8" s="128">
        <v>345.7</v>
      </c>
      <c r="BC8" s="57">
        <v>392.9</v>
      </c>
      <c r="BD8" s="57">
        <v>433.7</v>
      </c>
      <c r="BE8" s="42">
        <v>424.4</v>
      </c>
      <c r="BF8" s="522">
        <f t="shared" si="19"/>
        <v>1596.6999999999998</v>
      </c>
      <c r="BG8" s="128">
        <v>332.7</v>
      </c>
      <c r="BH8" s="57">
        <v>350.4</v>
      </c>
      <c r="BI8" s="57"/>
      <c r="BJ8" s="42"/>
      <c r="BK8" s="291">
        <f t="shared" si="20"/>
        <v>683.09999999999991</v>
      </c>
    </row>
    <row r="9" spans="1:63" ht="20.100000000000001" customHeight="1">
      <c r="A9" s="56" t="s">
        <v>22</v>
      </c>
      <c r="B9" s="138" t="s">
        <v>23</v>
      </c>
      <c r="C9" s="57">
        <v>7.9</v>
      </c>
      <c r="D9" s="57">
        <v>7.8</v>
      </c>
      <c r="E9" s="57">
        <v>9.5</v>
      </c>
      <c r="F9" s="57">
        <v>10.5</v>
      </c>
      <c r="G9" s="291">
        <f t="shared" si="10"/>
        <v>35.700000000000003</v>
      </c>
      <c r="H9" s="58">
        <v>8.5</v>
      </c>
      <c r="I9" s="57">
        <v>6.9</v>
      </c>
      <c r="J9" s="57">
        <v>5.9</v>
      </c>
      <c r="K9" s="57">
        <v>7.5</v>
      </c>
      <c r="L9" s="291">
        <f t="shared" si="11"/>
        <v>28.8</v>
      </c>
      <c r="M9" s="58">
        <v>5.4</v>
      </c>
      <c r="N9" s="57">
        <v>6.9</v>
      </c>
      <c r="O9" s="57">
        <v>13.2</v>
      </c>
      <c r="P9" s="57">
        <v>18.399999999999999</v>
      </c>
      <c r="Q9" s="291">
        <f t="shared" si="12"/>
        <v>43.9</v>
      </c>
      <c r="R9" s="57">
        <v>20.100000000000001</v>
      </c>
      <c r="S9" s="57">
        <v>21.6</v>
      </c>
      <c r="T9" s="57">
        <v>23.5</v>
      </c>
      <c r="U9" s="60">
        <v>24.399999999999991</v>
      </c>
      <c r="V9" s="291">
        <v>89.6</v>
      </c>
      <c r="W9" s="59">
        <v>25.7</v>
      </c>
      <c r="X9" s="59">
        <v>19.899999999999999</v>
      </c>
      <c r="Y9" s="42">
        <v>19.899999999999999</v>
      </c>
      <c r="Z9" s="60">
        <v>22.1</v>
      </c>
      <c r="AA9" s="291">
        <f t="shared" si="13"/>
        <v>87.6</v>
      </c>
      <c r="AB9" s="59">
        <v>35.200000000000003</v>
      </c>
      <c r="AC9" s="59">
        <v>41</v>
      </c>
      <c r="AD9" s="42">
        <v>44</v>
      </c>
      <c r="AE9" s="42">
        <v>46.7</v>
      </c>
      <c r="AF9" s="291">
        <f t="shared" si="14"/>
        <v>166.9</v>
      </c>
      <c r="AG9" s="59">
        <v>46</v>
      </c>
      <c r="AH9" s="57">
        <f>45.6</f>
        <v>45.6</v>
      </c>
      <c r="AI9" s="57">
        <v>38.4</v>
      </c>
      <c r="AJ9" s="42">
        <v>50.9</v>
      </c>
      <c r="AK9" s="291">
        <f t="shared" si="15"/>
        <v>180.9</v>
      </c>
      <c r="AL9" s="699"/>
      <c r="AM9" s="126">
        <v>40.299999999999997</v>
      </c>
      <c r="AN9" s="57">
        <v>40.9</v>
      </c>
      <c r="AO9" s="57">
        <v>34.299999999999997</v>
      </c>
      <c r="AP9" s="42">
        <v>48.199999999999989</v>
      </c>
      <c r="AQ9" s="291">
        <f t="shared" si="16"/>
        <v>163.69999999999999</v>
      </c>
      <c r="AR9" s="42">
        <v>56.3</v>
      </c>
      <c r="AS9" s="57">
        <v>56</v>
      </c>
      <c r="AT9" s="57">
        <v>60.6</v>
      </c>
      <c r="AU9" s="42">
        <v>69.8</v>
      </c>
      <c r="AV9" s="291">
        <f t="shared" si="17"/>
        <v>242.7</v>
      </c>
      <c r="AW9" s="128">
        <v>65.5</v>
      </c>
      <c r="AX9" s="57">
        <v>66</v>
      </c>
      <c r="AY9" s="57">
        <v>70.7</v>
      </c>
      <c r="AZ9" s="42">
        <v>79.900000000000006</v>
      </c>
      <c r="BA9" s="291">
        <f t="shared" si="18"/>
        <v>282.10000000000002</v>
      </c>
      <c r="BB9" s="128">
        <v>74.599999999999994</v>
      </c>
      <c r="BC9" s="57">
        <v>75.3</v>
      </c>
      <c r="BD9" s="62">
        <v>89.4</v>
      </c>
      <c r="BE9" s="42">
        <v>119.8</v>
      </c>
      <c r="BF9" s="522">
        <f t="shared" si="19"/>
        <v>359.09999999999997</v>
      </c>
      <c r="BG9" s="128">
        <v>109.9</v>
      </c>
      <c r="BH9" s="57">
        <v>180.3</v>
      </c>
      <c r="BI9" s="62"/>
      <c r="BJ9" s="42"/>
      <c r="BK9" s="291">
        <f t="shared" si="20"/>
        <v>290.20000000000005</v>
      </c>
    </row>
    <row r="10" spans="1:63" s="698" customFormat="1" ht="22.5" customHeight="1">
      <c r="A10" s="692" t="s">
        <v>24</v>
      </c>
      <c r="B10" s="693" t="s">
        <v>25</v>
      </c>
      <c r="C10" s="694">
        <f t="shared" ref="C10:AA10" si="21">SUM(C11:C18)</f>
        <v>-464.5</v>
      </c>
      <c r="D10" s="694">
        <f t="shared" si="21"/>
        <v>-499.7</v>
      </c>
      <c r="E10" s="694">
        <f t="shared" si="21"/>
        <v>-444.9</v>
      </c>
      <c r="F10" s="694">
        <f t="shared" si="21"/>
        <v>-562.4</v>
      </c>
      <c r="G10" s="695">
        <f t="shared" si="21"/>
        <v>-1971.5000000000002</v>
      </c>
      <c r="H10" s="696">
        <f t="shared" si="21"/>
        <v>-512.92000000000007</v>
      </c>
      <c r="I10" s="694">
        <f t="shared" si="21"/>
        <v>-542.4</v>
      </c>
      <c r="J10" s="694">
        <f t="shared" si="21"/>
        <v>-510.7</v>
      </c>
      <c r="K10" s="694">
        <f t="shared" si="21"/>
        <v>-591.70000000000005</v>
      </c>
      <c r="L10" s="695">
        <f t="shared" si="21"/>
        <v>-2157.7199999999998</v>
      </c>
      <c r="M10" s="696">
        <f t="shared" si="21"/>
        <v>-507.40000000000003</v>
      </c>
      <c r="N10" s="694">
        <f t="shared" si="21"/>
        <v>-1351.8000000000002</v>
      </c>
      <c r="O10" s="694">
        <f t="shared" si="21"/>
        <v>-1992.5000000000002</v>
      </c>
      <c r="P10" s="694">
        <f t="shared" si="21"/>
        <v>-2125.3999999999996</v>
      </c>
      <c r="Q10" s="695">
        <f t="shared" si="21"/>
        <v>-5977.1</v>
      </c>
      <c r="R10" s="694">
        <f t="shared" si="21"/>
        <v>-1909</v>
      </c>
      <c r="S10" s="694">
        <f t="shared" si="21"/>
        <v>-1899.4999999999998</v>
      </c>
      <c r="T10" s="694">
        <f t="shared" si="21"/>
        <v>-1900.1</v>
      </c>
      <c r="U10" s="694">
        <f t="shared" si="21"/>
        <v>-2159.2999999999997</v>
      </c>
      <c r="V10" s="695">
        <f t="shared" si="21"/>
        <v>-7867.9000000000005</v>
      </c>
      <c r="W10" s="694">
        <f t="shared" si="21"/>
        <v>-1948</v>
      </c>
      <c r="X10" s="694">
        <f t="shared" si="21"/>
        <v>-2042</v>
      </c>
      <c r="Y10" s="697">
        <f t="shared" si="21"/>
        <v>-1938.6999999999998</v>
      </c>
      <c r="Z10" s="697">
        <f t="shared" si="21"/>
        <v>-2140.6</v>
      </c>
      <c r="AA10" s="695">
        <f t="shared" si="21"/>
        <v>-8069.2999999999993</v>
      </c>
      <c r="AB10" s="694">
        <f>SUM(AB11:AB18)</f>
        <v>-1938.1999999999996</v>
      </c>
      <c r="AC10" s="694">
        <f>SUM(AC11:AC18)</f>
        <v>-1962.8000000000002</v>
      </c>
      <c r="AD10" s="694">
        <f>SUM(AD11:AD18)</f>
        <v>-1975.7</v>
      </c>
      <c r="AE10" s="694">
        <f t="shared" ref="AE10:AF10" si="22">SUM(AE11:AE18)</f>
        <v>-2139.1999999999998</v>
      </c>
      <c r="AF10" s="695">
        <f t="shared" si="22"/>
        <v>-8015.9</v>
      </c>
      <c r="AG10" s="694">
        <f>SUM(AG11:AG18)</f>
        <v>-1903.1000000000001</v>
      </c>
      <c r="AH10" s="694">
        <f>SUM(AH11:AH18)</f>
        <v>-1986.5000000000002</v>
      </c>
      <c r="AI10" s="694">
        <f>SUM(AI11:AI18)</f>
        <v>-2044</v>
      </c>
      <c r="AJ10" s="694">
        <f t="shared" ref="AJ10:AK10" si="23">SUM(AJ11:AJ18)</f>
        <v>-2266</v>
      </c>
      <c r="AK10" s="695">
        <f t="shared" si="23"/>
        <v>-8199.6</v>
      </c>
      <c r="AL10" s="660"/>
      <c r="AM10" s="696">
        <f>SUM(AM11:AM18)</f>
        <v>-1917.1000000000001</v>
      </c>
      <c r="AN10" s="694">
        <f>SUM(AN11:AN18)</f>
        <v>-2127</v>
      </c>
      <c r="AO10" s="694">
        <f>SUM(AO11:AO18)</f>
        <v>-2345.8000000000002</v>
      </c>
      <c r="AP10" s="694">
        <f t="shared" ref="AP10:AQ10" si="24">SUM(AP11:AP18)</f>
        <v>-2588.9</v>
      </c>
      <c r="AQ10" s="695">
        <f t="shared" si="24"/>
        <v>-8978.7999999999993</v>
      </c>
      <c r="AR10" s="696">
        <f>SUM(AR11:AR18)</f>
        <v>-2317.1</v>
      </c>
      <c r="AS10" s="694">
        <f>SUM(AS11:AS18)</f>
        <v>-2404.4</v>
      </c>
      <c r="AT10" s="694">
        <f>SUM(AT11:AT18)</f>
        <v>-2433.0000000000005</v>
      </c>
      <c r="AU10" s="694">
        <f>SUM(AU11:AU18)</f>
        <v>-2592.9999999999995</v>
      </c>
      <c r="AV10" s="695">
        <f t="shared" ref="AV10" si="25">SUM(AV11:AV18)</f>
        <v>-9747.4999999999982</v>
      </c>
      <c r="AW10" s="696">
        <f t="shared" ref="AW10:BE10" si="26">SUM(AW11:AW18)</f>
        <v>-2317.0000000000005</v>
      </c>
      <c r="AX10" s="694">
        <f t="shared" si="26"/>
        <v>-2407.2000000000003</v>
      </c>
      <c r="AY10" s="694">
        <f t="shared" si="26"/>
        <v>-2436.8000000000002</v>
      </c>
      <c r="AZ10" s="694">
        <f t="shared" si="26"/>
        <v>-2593.8000000000002</v>
      </c>
      <c r="BA10" s="695">
        <f t="shared" si="26"/>
        <v>-9754.7999999999993</v>
      </c>
      <c r="BB10" s="696">
        <f t="shared" si="26"/>
        <v>-2392.1111734799997</v>
      </c>
      <c r="BC10" s="694">
        <f t="shared" si="26"/>
        <v>-2455.5999999999995</v>
      </c>
      <c r="BD10" s="694">
        <f t="shared" si="26"/>
        <v>-2494.8000000000002</v>
      </c>
      <c r="BE10" s="694">
        <f t="shared" si="26"/>
        <v>-2731.3</v>
      </c>
      <c r="BF10" s="695">
        <f t="shared" ref="BF10" si="27">SUM(BF11:BF18)</f>
        <v>-10073.81117348</v>
      </c>
      <c r="BG10" s="696">
        <f>SUM(BG11:BG18)</f>
        <v>-2430.9</v>
      </c>
      <c r="BH10" s="694">
        <f>SUM(BH11:BH18)</f>
        <v>-2468.1000000000004</v>
      </c>
      <c r="BI10" s="694">
        <f>SUM(BI11:BI18)</f>
        <v>0</v>
      </c>
      <c r="BJ10" s="694">
        <f>SUM(BJ11:BJ18)</f>
        <v>0</v>
      </c>
      <c r="BK10" s="695">
        <f t="shared" ref="BK10" si="28">SUM(BK11:BK18)</f>
        <v>-4899.0000000000009</v>
      </c>
    </row>
    <row r="11" spans="1:63" ht="30" customHeight="1">
      <c r="A11" s="56" t="s">
        <v>26</v>
      </c>
      <c r="B11" s="139" t="s">
        <v>27</v>
      </c>
      <c r="C11" s="62">
        <v>-49.7</v>
      </c>
      <c r="D11" s="62">
        <v>-55.1</v>
      </c>
      <c r="E11" s="62">
        <v>-58.6</v>
      </c>
      <c r="F11" s="62">
        <v>-59.3</v>
      </c>
      <c r="G11" s="292">
        <f>SUM(C11:F11)</f>
        <v>-222.7</v>
      </c>
      <c r="H11" s="63">
        <v>-60.7</v>
      </c>
      <c r="I11" s="62">
        <v>-62</v>
      </c>
      <c r="J11" s="62">
        <v>-62.2</v>
      </c>
      <c r="K11" s="62">
        <v>-71.400000000000006</v>
      </c>
      <c r="L11" s="292">
        <f>SUM(H11:K11)</f>
        <v>-256.3</v>
      </c>
      <c r="M11" s="63">
        <v>-71.300000000000011</v>
      </c>
      <c r="N11" s="62">
        <v>-288</v>
      </c>
      <c r="O11" s="62">
        <v>-495.9</v>
      </c>
      <c r="P11" s="62">
        <v>-557.20000000000005</v>
      </c>
      <c r="Q11" s="292">
        <f>SUM(M11:P11)</f>
        <v>-1412.4</v>
      </c>
      <c r="R11" s="62">
        <v>-482.3</v>
      </c>
      <c r="S11" s="62">
        <v>-522.4</v>
      </c>
      <c r="T11" s="62">
        <v>-551.20000000000005</v>
      </c>
      <c r="U11" s="60">
        <v>-585.09999999999991</v>
      </c>
      <c r="V11" s="292">
        <v>-2141</v>
      </c>
      <c r="W11" s="64">
        <v>-550.29999999999995</v>
      </c>
      <c r="X11" s="64">
        <v>-456.6</v>
      </c>
      <c r="Y11" s="43">
        <v>-459.2</v>
      </c>
      <c r="Z11" s="60">
        <v>-472.6</v>
      </c>
      <c r="AA11" s="292">
        <f>SUM(W11:Z11)</f>
        <v>-1938.6999999999998</v>
      </c>
      <c r="AB11" s="64">
        <v>-468.2</v>
      </c>
      <c r="AC11" s="64">
        <v>-483.5</v>
      </c>
      <c r="AD11" s="43">
        <v>-528.5</v>
      </c>
      <c r="AE11" s="43">
        <v>-533.79999999999995</v>
      </c>
      <c r="AF11" s="292">
        <f t="shared" si="14"/>
        <v>-2014</v>
      </c>
      <c r="AG11" s="64">
        <v>-504.5</v>
      </c>
      <c r="AH11" s="62">
        <v>-521.1</v>
      </c>
      <c r="AI11" s="62">
        <v>-550.29999999999995</v>
      </c>
      <c r="AJ11" s="43">
        <v>-560.1</v>
      </c>
      <c r="AK11" s="292">
        <f t="shared" ref="AK11:AK19" si="29">SUM(AG11:AJ11)</f>
        <v>-2136</v>
      </c>
      <c r="AL11" s="699"/>
      <c r="AM11" s="127">
        <v>-504.5</v>
      </c>
      <c r="AN11" s="62">
        <v>-578.5</v>
      </c>
      <c r="AO11" s="62">
        <v>-674.8</v>
      </c>
      <c r="AP11" s="43">
        <v>-691.10000000000014</v>
      </c>
      <c r="AQ11" s="292">
        <f t="shared" ref="AQ11:AQ19" si="30">SUM(AM11:AP11)</f>
        <v>-2448.9</v>
      </c>
      <c r="AR11" s="127">
        <v>-651.29999999999995</v>
      </c>
      <c r="AS11" s="62">
        <v>-678.4</v>
      </c>
      <c r="AT11" s="62">
        <v>-664.1</v>
      </c>
      <c r="AU11" s="43">
        <v>-670.2</v>
      </c>
      <c r="AV11" s="292">
        <f t="shared" ref="AV11:AV19" si="31">SUM(AR11:AU11)</f>
        <v>-2664</v>
      </c>
      <c r="AW11" s="127">
        <v>-563.79999999999995</v>
      </c>
      <c r="AX11" s="62">
        <v>-591.4</v>
      </c>
      <c r="AY11" s="62">
        <v>-575.79999999999995</v>
      </c>
      <c r="AZ11" s="43">
        <v>-580.29999999999995</v>
      </c>
      <c r="BA11" s="292">
        <f t="shared" ref="BA11:BA19" si="32">SUM(AW11:AZ11)</f>
        <v>-2311.2999999999997</v>
      </c>
      <c r="BB11" s="127">
        <v>-600.79999999999995</v>
      </c>
      <c r="BC11" s="62">
        <v>-636.1</v>
      </c>
      <c r="BD11" s="62">
        <v>-609</v>
      </c>
      <c r="BE11" s="43">
        <v>-615</v>
      </c>
      <c r="BF11" s="523">
        <f t="shared" ref="BF11:BF19" si="33">SUM(BB11:BE11)</f>
        <v>-2460.9</v>
      </c>
      <c r="BG11" s="127">
        <v>-624.70000000000005</v>
      </c>
      <c r="BH11" s="62">
        <v>-633</v>
      </c>
      <c r="BI11" s="62"/>
      <c r="BJ11" s="43"/>
      <c r="BK11" s="292">
        <f t="shared" ref="BK11:BK19" si="34">SUM(BG11:BJ11)</f>
        <v>-1257.7</v>
      </c>
    </row>
    <row r="12" spans="1:63" ht="18.75" customHeight="1">
      <c r="A12" s="56" t="s">
        <v>28</v>
      </c>
      <c r="B12" s="138" t="s">
        <v>29</v>
      </c>
      <c r="C12" s="62">
        <v>-54.4</v>
      </c>
      <c r="D12" s="62">
        <v>-56.7</v>
      </c>
      <c r="E12" s="62">
        <v>-60.2</v>
      </c>
      <c r="F12" s="62">
        <v>-71.7</v>
      </c>
      <c r="G12" s="292">
        <f>SUM(C12:F12)</f>
        <v>-243</v>
      </c>
      <c r="H12" s="63">
        <v>-60.7</v>
      </c>
      <c r="I12" s="62">
        <v>-62.3</v>
      </c>
      <c r="J12" s="62">
        <v>-64.8</v>
      </c>
      <c r="K12" s="62">
        <v>-68.599999999999994</v>
      </c>
      <c r="L12" s="292">
        <f>SUM(H12:K12)</f>
        <v>-256.39999999999998</v>
      </c>
      <c r="M12" s="63">
        <v>-62.5</v>
      </c>
      <c r="N12" s="62">
        <v>-311.3</v>
      </c>
      <c r="O12" s="62">
        <v>-478.3</v>
      </c>
      <c r="P12" s="62">
        <v>-443.8</v>
      </c>
      <c r="Q12" s="292">
        <f>SUM(M12:P12)</f>
        <v>-1295.9000000000001</v>
      </c>
      <c r="R12" s="62">
        <v>-467.9</v>
      </c>
      <c r="S12" s="62">
        <v>-393.5</v>
      </c>
      <c r="T12" s="62">
        <v>-401.2</v>
      </c>
      <c r="U12" s="60">
        <v>-436.70000000000005</v>
      </c>
      <c r="V12" s="292">
        <v>-1699.3</v>
      </c>
      <c r="W12" s="64">
        <v>-423.7</v>
      </c>
      <c r="X12" s="64">
        <v>-527.5</v>
      </c>
      <c r="Y12" s="43">
        <v>-507.9</v>
      </c>
      <c r="Z12" s="60">
        <v>-512.4</v>
      </c>
      <c r="AA12" s="292">
        <f>SUM(W12:Z12)</f>
        <v>-1971.5</v>
      </c>
      <c r="AB12" s="64">
        <v>-472.3</v>
      </c>
      <c r="AC12" s="64">
        <v>-446.7</v>
      </c>
      <c r="AD12" s="43">
        <v>-429.2</v>
      </c>
      <c r="AE12" s="43">
        <v>-434.8</v>
      </c>
      <c r="AF12" s="292">
        <f t="shared" si="14"/>
        <v>-1783</v>
      </c>
      <c r="AG12" s="64">
        <v>-454.5</v>
      </c>
      <c r="AH12" s="62">
        <v>-439.1</v>
      </c>
      <c r="AI12" s="62">
        <v>-452.5</v>
      </c>
      <c r="AJ12" s="43">
        <v>-430.6</v>
      </c>
      <c r="AK12" s="292">
        <f t="shared" si="29"/>
        <v>-1776.6999999999998</v>
      </c>
      <c r="AL12" s="699"/>
      <c r="AM12" s="127">
        <v>-454.5</v>
      </c>
      <c r="AN12" s="62">
        <v>-470.8</v>
      </c>
      <c r="AO12" s="62">
        <v>-523.5</v>
      </c>
      <c r="AP12" s="43">
        <v>-521.90000000000009</v>
      </c>
      <c r="AQ12" s="292">
        <f t="shared" si="30"/>
        <v>-1970.7</v>
      </c>
      <c r="AR12" s="127">
        <v>-440.1</v>
      </c>
      <c r="AS12" s="62">
        <v>-444.6</v>
      </c>
      <c r="AT12" s="62">
        <v>-448.5</v>
      </c>
      <c r="AU12" s="43">
        <v>-453.2</v>
      </c>
      <c r="AV12" s="292">
        <f t="shared" si="31"/>
        <v>-1786.4</v>
      </c>
      <c r="AW12" s="127">
        <v>-547.1</v>
      </c>
      <c r="AX12" s="62">
        <v>-553.6</v>
      </c>
      <c r="AY12" s="62">
        <v>-561.5</v>
      </c>
      <c r="AZ12" s="43">
        <v>-567.5</v>
      </c>
      <c r="BA12" s="292">
        <f t="shared" si="32"/>
        <v>-2229.6999999999998</v>
      </c>
      <c r="BB12" s="127">
        <v>-564.5</v>
      </c>
      <c r="BC12" s="62">
        <v>-565.9</v>
      </c>
      <c r="BD12" s="62">
        <v>-573</v>
      </c>
      <c r="BE12" s="43">
        <v>-602.29999999999995</v>
      </c>
      <c r="BF12" s="523">
        <f t="shared" si="33"/>
        <v>-2305.6999999999998</v>
      </c>
      <c r="BG12" s="127">
        <v>-521.20000000000005</v>
      </c>
      <c r="BH12" s="62">
        <v>-457.2</v>
      </c>
      <c r="BI12" s="62"/>
      <c r="BJ12" s="43"/>
      <c r="BK12" s="292">
        <f t="shared" si="34"/>
        <v>-978.40000000000009</v>
      </c>
    </row>
    <row r="13" spans="1:63" ht="18.75" customHeight="1">
      <c r="A13" s="56" t="s">
        <v>30</v>
      </c>
      <c r="B13" s="138" t="s">
        <v>31</v>
      </c>
      <c r="C13" s="62">
        <v>-5.5</v>
      </c>
      <c r="D13" s="62">
        <v>-7.6</v>
      </c>
      <c r="E13" s="62">
        <v>-7</v>
      </c>
      <c r="F13" s="62">
        <v>-16.100000000000001</v>
      </c>
      <c r="G13" s="292">
        <f>SUM(C13:F13)</f>
        <v>-36.200000000000003</v>
      </c>
      <c r="H13" s="63">
        <v>-25.8</v>
      </c>
      <c r="I13" s="62">
        <v>-16.8</v>
      </c>
      <c r="J13" s="62">
        <v>-10.7</v>
      </c>
      <c r="K13" s="62">
        <v>-10.6</v>
      </c>
      <c r="L13" s="292">
        <f>SUM(H13:K13)</f>
        <v>-63.9</v>
      </c>
      <c r="M13" s="63">
        <v>-10.300000000000011</v>
      </c>
      <c r="N13" s="62">
        <v>-189.7</v>
      </c>
      <c r="O13" s="62">
        <v>-348.6</v>
      </c>
      <c r="P13" s="62">
        <v>-376.6</v>
      </c>
      <c r="Q13" s="292">
        <f>SUM(M13:P13)</f>
        <v>-925.2</v>
      </c>
      <c r="R13" s="62">
        <v>-332.5</v>
      </c>
      <c r="S13" s="62">
        <v>-291.7</v>
      </c>
      <c r="T13" s="62">
        <v>-314.89999999999998</v>
      </c>
      <c r="U13" s="60">
        <v>-393.59999999999991</v>
      </c>
      <c r="V13" s="292">
        <v>-1332.8</v>
      </c>
      <c r="W13" s="64">
        <v>-326.8</v>
      </c>
      <c r="X13" s="64">
        <v>-317.3</v>
      </c>
      <c r="Y13" s="43">
        <v>-330.5</v>
      </c>
      <c r="Z13" s="60">
        <v>-380.1</v>
      </c>
      <c r="AA13" s="292">
        <f>SUM(W13:Z13)</f>
        <v>-1354.7</v>
      </c>
      <c r="AB13" s="64">
        <v>-323.60000000000002</v>
      </c>
      <c r="AC13" s="64">
        <v>-318.8</v>
      </c>
      <c r="AD13" s="43">
        <v>-323.3</v>
      </c>
      <c r="AE13" s="43">
        <v>-357.9</v>
      </c>
      <c r="AF13" s="292">
        <f t="shared" si="14"/>
        <v>-1323.6</v>
      </c>
      <c r="AG13" s="64">
        <v>-258.5</v>
      </c>
      <c r="AH13" s="62">
        <v>-275.2</v>
      </c>
      <c r="AI13" s="62">
        <v>-277.3</v>
      </c>
      <c r="AJ13" s="43">
        <v>-331.7</v>
      </c>
      <c r="AK13" s="292">
        <f t="shared" si="29"/>
        <v>-1142.7</v>
      </c>
      <c r="AL13" s="699"/>
      <c r="AM13" s="127">
        <v>-272.5</v>
      </c>
      <c r="AN13" s="62">
        <v>-282.5</v>
      </c>
      <c r="AO13" s="62">
        <v>-281.10000000000002</v>
      </c>
      <c r="AP13" s="43">
        <v>-338.1</v>
      </c>
      <c r="AQ13" s="292">
        <f t="shared" si="30"/>
        <v>-1174.2</v>
      </c>
      <c r="AR13" s="127">
        <v>-289.39999999999998</v>
      </c>
      <c r="AS13" s="62">
        <v>-321.7</v>
      </c>
      <c r="AT13" s="62">
        <v>-340.7</v>
      </c>
      <c r="AU13" s="43">
        <v>-368.6</v>
      </c>
      <c r="AV13" s="292">
        <f t="shared" si="31"/>
        <v>-1320.4</v>
      </c>
      <c r="AW13" s="127">
        <v>-289.39999999999998</v>
      </c>
      <c r="AX13" s="62">
        <v>-321.7</v>
      </c>
      <c r="AY13" s="62">
        <v>-340.7</v>
      </c>
      <c r="AZ13" s="43">
        <v>-368.6</v>
      </c>
      <c r="BA13" s="292">
        <f t="shared" si="32"/>
        <v>-1320.4</v>
      </c>
      <c r="BB13" s="127">
        <v>-282.3</v>
      </c>
      <c r="BC13" s="62">
        <v>-334.8</v>
      </c>
      <c r="BD13" s="62">
        <v>-361.6</v>
      </c>
      <c r="BE13" s="43">
        <v>-359.5</v>
      </c>
      <c r="BF13" s="523">
        <f t="shared" si="33"/>
        <v>-1338.2</v>
      </c>
      <c r="BG13" s="127">
        <v>-276.7</v>
      </c>
      <c r="BH13" s="62">
        <v>-289.2</v>
      </c>
      <c r="BI13" s="62"/>
      <c r="BJ13" s="43"/>
      <c r="BK13" s="292">
        <f t="shared" si="34"/>
        <v>-565.9</v>
      </c>
    </row>
    <row r="14" spans="1:63" ht="18.75" customHeight="1">
      <c r="A14" s="56" t="s">
        <v>32</v>
      </c>
      <c r="B14" s="138" t="s">
        <v>33</v>
      </c>
      <c r="C14" s="62">
        <v>-206.8</v>
      </c>
      <c r="D14" s="62">
        <v>-226.6</v>
      </c>
      <c r="E14" s="62">
        <v>-171.5</v>
      </c>
      <c r="F14" s="62">
        <v>-219</v>
      </c>
      <c r="G14" s="292">
        <f>SUM(C14:F14)</f>
        <v>-823.9</v>
      </c>
      <c r="H14" s="63">
        <v>-207.5</v>
      </c>
      <c r="I14" s="62">
        <v>-239.5</v>
      </c>
      <c r="J14" s="62">
        <v>-219.3</v>
      </c>
      <c r="K14" s="62">
        <v>-260.7</v>
      </c>
      <c r="L14" s="292">
        <f>SUM(H14:K14)</f>
        <v>-927</v>
      </c>
      <c r="M14" s="63">
        <v>-210.60000000000002</v>
      </c>
      <c r="N14" s="62">
        <v>-260.89999999999998</v>
      </c>
      <c r="O14" s="62">
        <v>-262.39999999999998</v>
      </c>
      <c r="P14" s="62">
        <v>-295.60000000000002</v>
      </c>
      <c r="Q14" s="292">
        <f>SUM(M14:P14)</f>
        <v>-1029.5</v>
      </c>
      <c r="R14" s="62">
        <v>-235.5</v>
      </c>
      <c r="S14" s="62">
        <v>-274</v>
      </c>
      <c r="T14" s="62">
        <v>-257.3</v>
      </c>
      <c r="U14" s="60">
        <v>-299.10000000000014</v>
      </c>
      <c r="V14" s="292">
        <v>-1065.9000000000001</v>
      </c>
      <c r="W14" s="64">
        <v>-248.5</v>
      </c>
      <c r="X14" s="64">
        <v>-316.3</v>
      </c>
      <c r="Y14" s="43">
        <v>-252.1</v>
      </c>
      <c r="Z14" s="60">
        <v>-297.3</v>
      </c>
      <c r="AA14" s="292">
        <f>SUM(W14:Z14)</f>
        <v>-1114.2</v>
      </c>
      <c r="AB14" s="64">
        <v>-264.3</v>
      </c>
      <c r="AC14" s="64">
        <v>-298.39999999999998</v>
      </c>
      <c r="AD14" s="43">
        <v>-269.7</v>
      </c>
      <c r="AE14" s="43">
        <v>-321.2</v>
      </c>
      <c r="AF14" s="292">
        <f t="shared" si="14"/>
        <v>-1153.6000000000001</v>
      </c>
      <c r="AG14" s="64">
        <v>-269.39999999999998</v>
      </c>
      <c r="AH14" s="62">
        <v>-316.8</v>
      </c>
      <c r="AI14" s="62">
        <v>-323.5</v>
      </c>
      <c r="AJ14" s="43">
        <v>-406.8</v>
      </c>
      <c r="AK14" s="292">
        <f t="shared" si="29"/>
        <v>-1316.5</v>
      </c>
      <c r="AL14" s="699"/>
      <c r="AM14" s="127">
        <v>-269.39999999999998</v>
      </c>
      <c r="AN14" s="62">
        <v>-323</v>
      </c>
      <c r="AO14" s="62">
        <v>-338.9</v>
      </c>
      <c r="AP14" s="43">
        <v>-424</v>
      </c>
      <c r="AQ14" s="292">
        <f t="shared" si="30"/>
        <v>-1355.3</v>
      </c>
      <c r="AR14" s="127">
        <v>-369</v>
      </c>
      <c r="AS14" s="62">
        <v>-418</v>
      </c>
      <c r="AT14" s="62">
        <v>-423</v>
      </c>
      <c r="AU14" s="43">
        <v>-456.9</v>
      </c>
      <c r="AV14" s="292">
        <f t="shared" si="31"/>
        <v>-1666.9</v>
      </c>
      <c r="AW14" s="127">
        <v>-366.9</v>
      </c>
      <c r="AX14" s="62">
        <v>-415.8</v>
      </c>
      <c r="AY14" s="62">
        <v>-421</v>
      </c>
      <c r="AZ14" s="43">
        <v>-454.8</v>
      </c>
      <c r="BA14" s="292">
        <f t="shared" si="32"/>
        <v>-1658.5</v>
      </c>
      <c r="BB14" s="127">
        <v>-388.8</v>
      </c>
      <c r="BC14" s="62">
        <v>-368.9</v>
      </c>
      <c r="BD14" s="62">
        <v>-396.7</v>
      </c>
      <c r="BE14" s="43">
        <v>-484</v>
      </c>
      <c r="BF14" s="523">
        <f t="shared" si="33"/>
        <v>-1638.4</v>
      </c>
      <c r="BG14" s="127">
        <v>-419.4</v>
      </c>
      <c r="BH14" s="62">
        <v>-449.2</v>
      </c>
      <c r="BI14" s="62"/>
      <c r="BJ14" s="43"/>
      <c r="BK14" s="292">
        <f t="shared" si="34"/>
        <v>-868.59999999999991</v>
      </c>
    </row>
    <row r="15" spans="1:63" ht="30" customHeight="1">
      <c r="A15" s="56" t="s">
        <v>34</v>
      </c>
      <c r="B15" s="140" t="s">
        <v>35</v>
      </c>
      <c r="C15" s="62">
        <v>-71.5</v>
      </c>
      <c r="D15" s="62">
        <v>-71.8</v>
      </c>
      <c r="E15" s="62">
        <v>-73.7</v>
      </c>
      <c r="F15" s="62">
        <v>-95.7</v>
      </c>
      <c r="G15" s="292">
        <f>SUM(C15:F15)</f>
        <v>-312.7</v>
      </c>
      <c r="H15" s="63">
        <v>-79</v>
      </c>
      <c r="I15" s="62">
        <v>-81.3</v>
      </c>
      <c r="J15" s="62">
        <v>-79.3</v>
      </c>
      <c r="K15" s="62">
        <v>-92.4</v>
      </c>
      <c r="L15" s="292">
        <f>SUM(H15:K15)</f>
        <v>-332</v>
      </c>
      <c r="M15" s="63">
        <v>-75.400000000000006</v>
      </c>
      <c r="N15" s="62">
        <v>-132.19999999999999</v>
      </c>
      <c r="O15" s="62">
        <v>-186.8</v>
      </c>
      <c r="P15" s="62">
        <v>-218.3</v>
      </c>
      <c r="Q15" s="292">
        <f>SUM(M15:P15)</f>
        <v>-612.70000000000005</v>
      </c>
      <c r="R15" s="62">
        <v>-189.2</v>
      </c>
      <c r="S15" s="62">
        <v>-193.2</v>
      </c>
      <c r="T15" s="62">
        <v>-200.1</v>
      </c>
      <c r="U15" s="60">
        <v>-220.1</v>
      </c>
      <c r="V15" s="292">
        <v>-802.6</v>
      </c>
      <c r="W15" s="64">
        <v>-200.5</v>
      </c>
      <c r="X15" s="64">
        <v>-202.2</v>
      </c>
      <c r="Y15" s="43">
        <v>-202.6</v>
      </c>
      <c r="Z15" s="60">
        <v>-222.5</v>
      </c>
      <c r="AA15" s="292">
        <f>SUM(W15:Z15)</f>
        <v>-827.8</v>
      </c>
      <c r="AB15" s="64">
        <v>-211.1</v>
      </c>
      <c r="AC15" s="64">
        <v>-215.9</v>
      </c>
      <c r="AD15" s="43">
        <v>-224</v>
      </c>
      <c r="AE15" s="43">
        <v>-243.3</v>
      </c>
      <c r="AF15" s="292">
        <f t="shared" si="14"/>
        <v>-894.3</v>
      </c>
      <c r="AG15" s="64">
        <v>-205.2</v>
      </c>
      <c r="AH15" s="62">
        <v>-214.9</v>
      </c>
      <c r="AI15" s="62">
        <v>-217.1</v>
      </c>
      <c r="AJ15" s="43">
        <v>-265.60000000000002</v>
      </c>
      <c r="AK15" s="292">
        <f t="shared" si="29"/>
        <v>-902.80000000000007</v>
      </c>
      <c r="AL15" s="699"/>
      <c r="AM15" s="127">
        <v>-205.2</v>
      </c>
      <c r="AN15" s="62">
        <v>-223.5</v>
      </c>
      <c r="AO15" s="62">
        <v>-236.5</v>
      </c>
      <c r="AP15" s="43">
        <v>-268.69999999999993</v>
      </c>
      <c r="AQ15" s="292">
        <f t="shared" si="30"/>
        <v>-933.9</v>
      </c>
      <c r="AR15" s="127">
        <v>-249.5</v>
      </c>
      <c r="AS15" s="62">
        <v>-245.6</v>
      </c>
      <c r="AT15" s="62">
        <v>-261</v>
      </c>
      <c r="AU15" s="43">
        <v>-282.7</v>
      </c>
      <c r="AV15" s="292">
        <f t="shared" si="31"/>
        <v>-1038.8</v>
      </c>
      <c r="AW15" s="127">
        <v>-244.8</v>
      </c>
      <c r="AX15" s="62">
        <v>-241.8</v>
      </c>
      <c r="AY15" s="62">
        <v>-256.60000000000002</v>
      </c>
      <c r="AZ15" s="43">
        <v>-278.10000000000002</v>
      </c>
      <c r="BA15" s="292">
        <f t="shared" si="32"/>
        <v>-1021.3000000000001</v>
      </c>
      <c r="BB15" s="127">
        <v>-224.4</v>
      </c>
      <c r="BC15" s="62">
        <v>-232</v>
      </c>
      <c r="BD15" s="62">
        <v>-247.4</v>
      </c>
      <c r="BE15" s="43">
        <v>-259.39999999999998</v>
      </c>
      <c r="BF15" s="523">
        <f t="shared" si="33"/>
        <v>-963.19999999999993</v>
      </c>
      <c r="BG15" s="127">
        <v>-229</v>
      </c>
      <c r="BH15" s="62">
        <v>-230.6</v>
      </c>
      <c r="BI15" s="62"/>
      <c r="BJ15" s="43"/>
      <c r="BK15" s="292">
        <f t="shared" si="34"/>
        <v>-459.6</v>
      </c>
    </row>
    <row r="16" spans="1:63" ht="20.100000000000001" customHeight="1">
      <c r="A16" s="56" t="s">
        <v>36</v>
      </c>
      <c r="B16" s="138" t="s">
        <v>37</v>
      </c>
      <c r="C16" s="62">
        <v>-40.6</v>
      </c>
      <c r="D16" s="62">
        <v>-40.299999999999997</v>
      </c>
      <c r="E16" s="62">
        <v>-38.9</v>
      </c>
      <c r="F16" s="62">
        <v>-58.6</v>
      </c>
      <c r="G16" s="292">
        <f t="shared" ref="G16:G19" si="35">SUM(C16:F16)</f>
        <v>-178.4</v>
      </c>
      <c r="H16" s="63">
        <v>-43.1</v>
      </c>
      <c r="I16" s="62">
        <v>-41.9</v>
      </c>
      <c r="J16" s="62">
        <v>-40.4</v>
      </c>
      <c r="K16" s="62">
        <v>-53.2</v>
      </c>
      <c r="L16" s="292">
        <f t="shared" ref="L16:L19" si="36">SUM(H16:K16)</f>
        <v>-178.60000000000002</v>
      </c>
      <c r="M16" s="63">
        <v>-44.600000000000009</v>
      </c>
      <c r="N16" s="62">
        <v>-108.2</v>
      </c>
      <c r="O16" s="62">
        <v>-118</v>
      </c>
      <c r="P16" s="62">
        <v>-150.9</v>
      </c>
      <c r="Q16" s="292">
        <f t="shared" ref="Q16:Q19" si="37">SUM(M16:P16)</f>
        <v>-421.70000000000005</v>
      </c>
      <c r="R16" s="62">
        <v>-129.1</v>
      </c>
      <c r="S16" s="62">
        <v>-140.80000000000001</v>
      </c>
      <c r="T16" s="62">
        <v>-122.3</v>
      </c>
      <c r="U16" s="60">
        <v>-158.00000000000006</v>
      </c>
      <c r="V16" s="292">
        <v>-550.20000000000005</v>
      </c>
      <c r="W16" s="64">
        <v>-137.9</v>
      </c>
      <c r="X16" s="64">
        <v>-138.19999999999999</v>
      </c>
      <c r="Y16" s="43">
        <v>-130.5</v>
      </c>
      <c r="Z16" s="60">
        <v>-163.9</v>
      </c>
      <c r="AA16" s="292">
        <f t="shared" si="13"/>
        <v>-570.5</v>
      </c>
      <c r="AB16" s="64">
        <v>-127.8</v>
      </c>
      <c r="AC16" s="64">
        <v>-133.69999999999999</v>
      </c>
      <c r="AD16" s="43">
        <v>-127.4</v>
      </c>
      <c r="AE16" s="43">
        <v>-164.2</v>
      </c>
      <c r="AF16" s="292">
        <f t="shared" si="14"/>
        <v>-553.09999999999991</v>
      </c>
      <c r="AG16" s="64">
        <v>-143.80000000000001</v>
      </c>
      <c r="AH16" s="62">
        <v>-146</v>
      </c>
      <c r="AI16" s="62">
        <v>-137</v>
      </c>
      <c r="AJ16" s="43">
        <v>-184.2</v>
      </c>
      <c r="AK16" s="292">
        <f t="shared" si="29"/>
        <v>-611</v>
      </c>
      <c r="AL16" s="700"/>
      <c r="AM16" s="127">
        <v>-143.80000000000001</v>
      </c>
      <c r="AN16" s="62">
        <v>-169.3</v>
      </c>
      <c r="AO16" s="62">
        <v>-187.1</v>
      </c>
      <c r="AP16" s="43">
        <v>-238.7</v>
      </c>
      <c r="AQ16" s="292">
        <f t="shared" si="30"/>
        <v>-738.90000000000009</v>
      </c>
      <c r="AR16" s="127">
        <v>-212.6</v>
      </c>
      <c r="AS16" s="62">
        <v>-205.6</v>
      </c>
      <c r="AT16" s="62">
        <v>-199.3</v>
      </c>
      <c r="AU16" s="43">
        <v>-253.1</v>
      </c>
      <c r="AV16" s="292">
        <f t="shared" si="31"/>
        <v>-870.6</v>
      </c>
      <c r="AW16" s="127">
        <v>-212.6</v>
      </c>
      <c r="AX16" s="62">
        <v>-205.6</v>
      </c>
      <c r="AY16" s="62">
        <v>-199.3</v>
      </c>
      <c r="AZ16" s="43">
        <v>-253.1</v>
      </c>
      <c r="BA16" s="292">
        <f t="shared" si="32"/>
        <v>-870.6</v>
      </c>
      <c r="BB16" s="127">
        <v>-221.9</v>
      </c>
      <c r="BC16" s="62">
        <v>-210.2</v>
      </c>
      <c r="BD16" s="62">
        <v>-208</v>
      </c>
      <c r="BE16" s="43">
        <v>-265.8</v>
      </c>
      <c r="BF16" s="523">
        <f t="shared" si="33"/>
        <v>-905.90000000000009</v>
      </c>
      <c r="BG16" s="127">
        <v>-236.9</v>
      </c>
      <c r="BH16" s="62">
        <v>-227.9</v>
      </c>
      <c r="BI16" s="62"/>
      <c r="BJ16" s="43"/>
      <c r="BK16" s="292">
        <f t="shared" si="34"/>
        <v>-464.8</v>
      </c>
    </row>
    <row r="17" spans="1:63" ht="30" customHeight="1">
      <c r="A17" s="56" t="s">
        <v>38</v>
      </c>
      <c r="B17" s="141" t="s">
        <v>39</v>
      </c>
      <c r="C17" s="62">
        <v>-5.9</v>
      </c>
      <c r="D17" s="62">
        <v>-8.4</v>
      </c>
      <c r="E17" s="62">
        <v>-5.3</v>
      </c>
      <c r="F17" s="62">
        <v>-7.8</v>
      </c>
      <c r="G17" s="292">
        <f t="shared" si="35"/>
        <v>-27.400000000000002</v>
      </c>
      <c r="H17" s="63">
        <v>-6.42</v>
      </c>
      <c r="I17" s="62">
        <v>-9.3000000000000007</v>
      </c>
      <c r="J17" s="62">
        <v>-5.3</v>
      </c>
      <c r="K17" s="62">
        <v>-7.2</v>
      </c>
      <c r="L17" s="292">
        <f t="shared" si="36"/>
        <v>-28.22</v>
      </c>
      <c r="M17" s="63">
        <v>-6.6999999999999993</v>
      </c>
      <c r="N17" s="62">
        <v>-18.100000000000001</v>
      </c>
      <c r="O17" s="62">
        <v>-15.3</v>
      </c>
      <c r="P17" s="62">
        <v>-27.5</v>
      </c>
      <c r="Q17" s="292">
        <f t="shared" si="37"/>
        <v>-67.599999999999994</v>
      </c>
      <c r="R17" s="62">
        <v>-18.7</v>
      </c>
      <c r="S17" s="62">
        <v>-27.8</v>
      </c>
      <c r="T17" s="62">
        <v>-8.5</v>
      </c>
      <c r="U17" s="60">
        <v>-7.6000000000000014</v>
      </c>
      <c r="V17" s="292">
        <v>-62.6</v>
      </c>
      <c r="W17" s="64">
        <v>-9.6</v>
      </c>
      <c r="X17" s="64">
        <v>-16.3</v>
      </c>
      <c r="Y17" s="43">
        <v>-5.7</v>
      </c>
      <c r="Z17" s="60">
        <v>-15.3</v>
      </c>
      <c r="AA17" s="292">
        <f t="shared" si="13"/>
        <v>-46.9</v>
      </c>
      <c r="AB17" s="64">
        <v>-19.3</v>
      </c>
      <c r="AC17" s="64">
        <v>-16.3</v>
      </c>
      <c r="AD17" s="43">
        <v>-21.3</v>
      </c>
      <c r="AE17" s="43">
        <v>-10.5</v>
      </c>
      <c r="AF17" s="292">
        <f t="shared" si="14"/>
        <v>-67.400000000000006</v>
      </c>
      <c r="AG17" s="64">
        <v>-11.9</v>
      </c>
      <c r="AH17" s="62">
        <v>-18.2</v>
      </c>
      <c r="AI17" s="62">
        <v>-32.9</v>
      </c>
      <c r="AJ17" s="43">
        <v>-19</v>
      </c>
      <c r="AK17" s="292">
        <f t="shared" si="29"/>
        <v>-82</v>
      </c>
      <c r="AL17" s="699"/>
      <c r="AM17" s="127">
        <v>-11.9</v>
      </c>
      <c r="AN17" s="62">
        <v>-17.600000000000001</v>
      </c>
      <c r="AO17" s="62">
        <v>-34.799999999999997</v>
      </c>
      <c r="AP17" s="43">
        <v>-19.600000000000009</v>
      </c>
      <c r="AQ17" s="292">
        <f t="shared" si="30"/>
        <v>-83.9</v>
      </c>
      <c r="AR17" s="127">
        <v>-34.6</v>
      </c>
      <c r="AS17" s="62">
        <v>-16.899999999999999</v>
      </c>
      <c r="AT17" s="62">
        <v>-19.8</v>
      </c>
      <c r="AU17" s="43">
        <v>-27.6</v>
      </c>
      <c r="AV17" s="292">
        <f t="shared" si="31"/>
        <v>-98.9</v>
      </c>
      <c r="AW17" s="127">
        <v>-34.6</v>
      </c>
      <c r="AX17" s="62">
        <v>-16.899999999999999</v>
      </c>
      <c r="AY17" s="62">
        <v>-19.8</v>
      </c>
      <c r="AZ17" s="43">
        <v>-27.6</v>
      </c>
      <c r="BA17" s="292">
        <f t="shared" si="32"/>
        <v>-98.9</v>
      </c>
      <c r="BB17" s="127">
        <v>-44.311173479999866</v>
      </c>
      <c r="BC17" s="62">
        <v>-36.6</v>
      </c>
      <c r="BD17" s="62">
        <v>-22.8</v>
      </c>
      <c r="BE17" s="43">
        <v>-25.2</v>
      </c>
      <c r="BF17" s="523">
        <f t="shared" si="33"/>
        <v>-128.91117347999986</v>
      </c>
      <c r="BG17" s="127">
        <v>-29.8</v>
      </c>
      <c r="BH17" s="62">
        <v>-22.7</v>
      </c>
      <c r="BI17" s="62"/>
      <c r="BJ17" s="43"/>
      <c r="BK17" s="292">
        <f t="shared" si="34"/>
        <v>-52.5</v>
      </c>
    </row>
    <row r="18" spans="1:63" ht="18.75" customHeight="1">
      <c r="A18" s="56" t="s">
        <v>40</v>
      </c>
      <c r="B18" s="138" t="s">
        <v>41</v>
      </c>
      <c r="C18" s="62">
        <v>-30.1</v>
      </c>
      <c r="D18" s="62">
        <v>-33.200000000000003</v>
      </c>
      <c r="E18" s="62">
        <v>-29.7</v>
      </c>
      <c r="F18" s="62">
        <v>-34.200000000000003</v>
      </c>
      <c r="G18" s="292">
        <f t="shared" si="35"/>
        <v>-127.2</v>
      </c>
      <c r="H18" s="63">
        <v>-29.7</v>
      </c>
      <c r="I18" s="62">
        <v>-29.3</v>
      </c>
      <c r="J18" s="62">
        <v>-28.7</v>
      </c>
      <c r="K18" s="62">
        <v>-27.6</v>
      </c>
      <c r="L18" s="292">
        <f t="shared" si="36"/>
        <v>-115.30000000000001</v>
      </c>
      <c r="M18" s="63">
        <v>-26.000000000000007</v>
      </c>
      <c r="N18" s="62">
        <v>-43.4</v>
      </c>
      <c r="O18" s="62">
        <v>-87.2</v>
      </c>
      <c r="P18" s="62">
        <v>-55.5</v>
      </c>
      <c r="Q18" s="292">
        <f t="shared" si="37"/>
        <v>-212.10000000000002</v>
      </c>
      <c r="R18" s="62">
        <v>-53.8</v>
      </c>
      <c r="S18" s="62">
        <v>-56.1</v>
      </c>
      <c r="T18" s="62">
        <v>-44.6</v>
      </c>
      <c r="U18" s="60">
        <v>-59.099999999999994</v>
      </c>
      <c r="V18" s="292">
        <v>-213.5</v>
      </c>
      <c r="W18" s="64">
        <v>-50.7</v>
      </c>
      <c r="X18" s="64">
        <v>-67.599999999999994</v>
      </c>
      <c r="Y18" s="43">
        <v>-50.2</v>
      </c>
      <c r="Z18" s="60">
        <v>-76.5</v>
      </c>
      <c r="AA18" s="292">
        <f t="shared" si="13"/>
        <v>-245</v>
      </c>
      <c r="AB18" s="64">
        <v>-51.6</v>
      </c>
      <c r="AC18" s="64">
        <v>-49.5</v>
      </c>
      <c r="AD18" s="43">
        <v>-52.3</v>
      </c>
      <c r="AE18" s="43">
        <v>-73.5</v>
      </c>
      <c r="AF18" s="292">
        <f t="shared" si="14"/>
        <v>-226.89999999999998</v>
      </c>
      <c r="AG18" s="64">
        <v>-55.3</v>
      </c>
      <c r="AH18" s="62">
        <v>-55.2</v>
      </c>
      <c r="AI18" s="62">
        <v>-53.4</v>
      </c>
      <c r="AJ18" s="43">
        <v>-68</v>
      </c>
      <c r="AK18" s="292">
        <f t="shared" si="29"/>
        <v>-231.9</v>
      </c>
      <c r="AL18" s="699"/>
      <c r="AM18" s="127">
        <v>-55.3</v>
      </c>
      <c r="AN18" s="62">
        <v>-61.8</v>
      </c>
      <c r="AO18" s="62">
        <v>-69.099999999999994</v>
      </c>
      <c r="AP18" s="43">
        <v>-86.800000000000011</v>
      </c>
      <c r="AQ18" s="292">
        <f t="shared" si="30"/>
        <v>-273</v>
      </c>
      <c r="AR18" s="127">
        <v>-70.599999999999994</v>
      </c>
      <c r="AS18" s="62">
        <v>-73.599999999999994</v>
      </c>
      <c r="AT18" s="62">
        <v>-76.599999999999994</v>
      </c>
      <c r="AU18" s="43">
        <v>-80.7</v>
      </c>
      <c r="AV18" s="292">
        <f t="shared" si="31"/>
        <v>-301.5</v>
      </c>
      <c r="AW18" s="127">
        <v>-57.8</v>
      </c>
      <c r="AX18" s="62">
        <v>-60.4</v>
      </c>
      <c r="AY18" s="62">
        <v>-62.1</v>
      </c>
      <c r="AZ18" s="43">
        <v>-63.8</v>
      </c>
      <c r="BA18" s="292">
        <f t="shared" si="32"/>
        <v>-244.09999999999997</v>
      </c>
      <c r="BB18" s="127">
        <v>-65.099999999999994</v>
      </c>
      <c r="BC18" s="62">
        <v>-71.099999999999994</v>
      </c>
      <c r="BD18" s="62">
        <v>-76.3</v>
      </c>
      <c r="BE18" s="43">
        <v>-120.1</v>
      </c>
      <c r="BF18" s="523">
        <f t="shared" si="33"/>
        <v>-332.6</v>
      </c>
      <c r="BG18" s="127">
        <v>-93.2</v>
      </c>
      <c r="BH18" s="62">
        <v>-158.30000000000001</v>
      </c>
      <c r="BI18" s="62"/>
      <c r="BJ18" s="43"/>
      <c r="BK18" s="292">
        <f t="shared" si="34"/>
        <v>-251.5</v>
      </c>
    </row>
    <row r="19" spans="1:63" s="563" customFormat="1" ht="22.5" customHeight="1">
      <c r="A19" s="556" t="s">
        <v>42</v>
      </c>
      <c r="B19" s="557" t="s">
        <v>43</v>
      </c>
      <c r="C19" s="562">
        <v>-1.7</v>
      </c>
      <c r="D19" s="562">
        <v>-1.1000000000000001</v>
      </c>
      <c r="E19" s="562">
        <v>-2</v>
      </c>
      <c r="F19" s="562">
        <v>-12.7</v>
      </c>
      <c r="G19" s="657">
        <f t="shared" si="35"/>
        <v>-17.5</v>
      </c>
      <c r="H19" s="560">
        <v>0.5</v>
      </c>
      <c r="I19" s="558">
        <v>1.5</v>
      </c>
      <c r="J19" s="558">
        <v>36.799999999999997</v>
      </c>
      <c r="K19" s="562">
        <v>-2</v>
      </c>
      <c r="L19" s="559">
        <f t="shared" si="36"/>
        <v>36.799999999999997</v>
      </c>
      <c r="M19" s="560">
        <v>3.6</v>
      </c>
      <c r="N19" s="558">
        <v>3.5</v>
      </c>
      <c r="O19" s="558">
        <v>4.7</v>
      </c>
      <c r="P19" s="562">
        <v>-2.2000000000000002</v>
      </c>
      <c r="Q19" s="559">
        <f t="shared" si="37"/>
        <v>9.6000000000000014</v>
      </c>
      <c r="R19" s="558">
        <v>8.6999999999999993</v>
      </c>
      <c r="S19" s="558">
        <v>13.8</v>
      </c>
      <c r="T19" s="655">
        <v>14.4</v>
      </c>
      <c r="U19" s="655">
        <v>-6.2</v>
      </c>
      <c r="V19" s="559">
        <v>30.7</v>
      </c>
      <c r="W19" s="558">
        <v>6.8</v>
      </c>
      <c r="X19" s="558">
        <v>6.6</v>
      </c>
      <c r="Y19" s="562">
        <v>0</v>
      </c>
      <c r="Z19" s="655">
        <v>-4.5999999999999996</v>
      </c>
      <c r="AA19" s="559">
        <f t="shared" si="13"/>
        <v>8.7999999999999989</v>
      </c>
      <c r="AB19" s="558">
        <v>6.8</v>
      </c>
      <c r="AC19" s="558">
        <v>9.9</v>
      </c>
      <c r="AD19" s="558">
        <v>6.7</v>
      </c>
      <c r="AE19" s="655">
        <v>-2.1</v>
      </c>
      <c r="AF19" s="559">
        <f t="shared" si="14"/>
        <v>21.299999999999997</v>
      </c>
      <c r="AG19" s="558">
        <v>6.7</v>
      </c>
      <c r="AH19" s="655">
        <v>-1.9</v>
      </c>
      <c r="AI19" s="558">
        <v>4.5999999999999996</v>
      </c>
      <c r="AJ19" s="562">
        <v>0</v>
      </c>
      <c r="AK19" s="559">
        <f t="shared" si="29"/>
        <v>9.4</v>
      </c>
      <c r="AL19" s="564"/>
      <c r="AM19" s="560">
        <v>6.7</v>
      </c>
      <c r="AN19" s="655">
        <v>-0.6</v>
      </c>
      <c r="AO19" s="558">
        <v>7.3</v>
      </c>
      <c r="AP19" s="562">
        <v>6.2999999999999989</v>
      </c>
      <c r="AQ19" s="559">
        <f t="shared" si="30"/>
        <v>19.7</v>
      </c>
      <c r="AR19" s="560">
        <v>16.600000000000001</v>
      </c>
      <c r="AS19" s="558">
        <v>6.7</v>
      </c>
      <c r="AT19" s="558">
        <v>3.4</v>
      </c>
      <c r="AU19" s="558">
        <v>19</v>
      </c>
      <c r="AV19" s="559">
        <f t="shared" si="31"/>
        <v>45.7</v>
      </c>
      <c r="AW19" s="560">
        <v>16.600000000000001</v>
      </c>
      <c r="AX19" s="558">
        <v>6.7</v>
      </c>
      <c r="AY19" s="558">
        <v>3.4</v>
      </c>
      <c r="AZ19" s="558">
        <v>19</v>
      </c>
      <c r="BA19" s="559">
        <f t="shared" si="32"/>
        <v>45.7</v>
      </c>
      <c r="BB19" s="560">
        <v>5.8</v>
      </c>
      <c r="BC19" s="655">
        <v>-13</v>
      </c>
      <c r="BD19" s="655">
        <v>-2.8</v>
      </c>
      <c r="BE19" s="558">
        <v>7.1</v>
      </c>
      <c r="BF19" s="656">
        <f t="shared" si="33"/>
        <v>-2.9000000000000004</v>
      </c>
      <c r="BG19" s="560">
        <v>5</v>
      </c>
      <c r="BH19" s="655">
        <v>-7.9</v>
      </c>
      <c r="BI19" s="558"/>
      <c r="BJ19" s="558"/>
      <c r="BK19" s="656">
        <f t="shared" si="34"/>
        <v>-2.9000000000000004</v>
      </c>
    </row>
    <row r="20" spans="1:63" s="599" customFormat="1" ht="22.5" customHeight="1">
      <c r="A20" s="592" t="s">
        <v>44</v>
      </c>
      <c r="B20" s="593" t="s">
        <v>45</v>
      </c>
      <c r="C20" s="594">
        <f t="shared" ref="C20:AG20" si="38">C5+C10+C19</f>
        <v>203.00000000000006</v>
      </c>
      <c r="D20" s="594">
        <f t="shared" si="38"/>
        <v>212.99999999999997</v>
      </c>
      <c r="E20" s="594">
        <f t="shared" si="38"/>
        <v>197.60000000000002</v>
      </c>
      <c r="F20" s="594">
        <f t="shared" si="38"/>
        <v>175.50000000000017</v>
      </c>
      <c r="G20" s="595">
        <f t="shared" si="38"/>
        <v>789.09999999999923</v>
      </c>
      <c r="H20" s="596">
        <f t="shared" si="38"/>
        <v>184.67999999999995</v>
      </c>
      <c r="I20" s="594">
        <f t="shared" si="38"/>
        <v>195</v>
      </c>
      <c r="J20" s="594">
        <f t="shared" si="38"/>
        <v>203.39999999999998</v>
      </c>
      <c r="K20" s="594">
        <f t="shared" si="38"/>
        <v>206.79999999999995</v>
      </c>
      <c r="L20" s="595">
        <f t="shared" si="38"/>
        <v>789.88000000000034</v>
      </c>
      <c r="M20" s="596">
        <f t="shared" si="38"/>
        <v>219.4999999999998</v>
      </c>
      <c r="N20" s="594">
        <f t="shared" si="38"/>
        <v>397.59999999999991</v>
      </c>
      <c r="O20" s="594">
        <f t="shared" si="38"/>
        <v>431.79999999999967</v>
      </c>
      <c r="P20" s="594">
        <f t="shared" si="38"/>
        <v>393.50000000000074</v>
      </c>
      <c r="Q20" s="595">
        <f t="shared" si="38"/>
        <v>1442.3999999999992</v>
      </c>
      <c r="R20" s="594">
        <f t="shared" si="38"/>
        <v>428.7</v>
      </c>
      <c r="S20" s="594">
        <f t="shared" si="38"/>
        <v>583.5</v>
      </c>
      <c r="T20" s="594">
        <f t="shared" si="38"/>
        <v>529.1999999999997</v>
      </c>
      <c r="U20" s="594">
        <f t="shared" si="38"/>
        <v>444.40000000000038</v>
      </c>
      <c r="V20" s="595">
        <f t="shared" si="38"/>
        <v>1985.7999999999995</v>
      </c>
      <c r="W20" s="594">
        <f t="shared" si="38"/>
        <v>422.8</v>
      </c>
      <c r="X20" s="594">
        <f t="shared" si="38"/>
        <v>407.50000000000011</v>
      </c>
      <c r="Y20" s="597">
        <f t="shared" si="38"/>
        <v>449.10000000000036</v>
      </c>
      <c r="Z20" s="597">
        <f t="shared" si="38"/>
        <v>389.9</v>
      </c>
      <c r="AA20" s="595">
        <f t="shared" si="38"/>
        <v>1669.3</v>
      </c>
      <c r="AB20" s="594">
        <f t="shared" si="38"/>
        <v>457.20000000000033</v>
      </c>
      <c r="AC20" s="594">
        <f t="shared" si="38"/>
        <v>516.99999999999989</v>
      </c>
      <c r="AD20" s="594">
        <f t="shared" si="38"/>
        <v>421.90000000000003</v>
      </c>
      <c r="AE20" s="594">
        <f t="shared" si="38"/>
        <v>437.9</v>
      </c>
      <c r="AF20" s="595">
        <f t="shared" si="38"/>
        <v>1834.0000000000007</v>
      </c>
      <c r="AG20" s="594">
        <f t="shared" si="38"/>
        <v>464.29999999999967</v>
      </c>
      <c r="AH20" s="594">
        <f>AH5+AH10+AH19</f>
        <v>488.49999999999989</v>
      </c>
      <c r="AI20" s="594">
        <f>AI5+AI10+AI19</f>
        <v>396.00000000000011</v>
      </c>
      <c r="AJ20" s="598">
        <f>AJ5+AJ10+AJ19</f>
        <v>416</v>
      </c>
      <c r="AK20" s="595">
        <f t="shared" ref="AK20" si="39">AK5+AK10+AK19</f>
        <v>1764.7999999999997</v>
      </c>
      <c r="AL20" s="564"/>
      <c r="AM20" s="596">
        <f t="shared" ref="AM20" si="40">AM5+AM10+AM19</f>
        <v>435.49999999999994</v>
      </c>
      <c r="AN20" s="594">
        <f>AN5+AN10+AN19</f>
        <v>475.5999999999998</v>
      </c>
      <c r="AO20" s="594">
        <f>AO5+AO10+AO19</f>
        <v>396.49999999999983</v>
      </c>
      <c r="AP20" s="598">
        <f t="shared" ref="AP20:AQ20" si="41">AP5+AP10+AP19</f>
        <v>419.39999999999992</v>
      </c>
      <c r="AQ20" s="595">
        <f t="shared" si="41"/>
        <v>1727.000000000003</v>
      </c>
      <c r="AR20" s="596">
        <f>AR5+AR10+AR19</f>
        <v>481.9000000000002</v>
      </c>
      <c r="AS20" s="594">
        <f>AS5+AS10+AS19</f>
        <v>515.29999999999995</v>
      </c>
      <c r="AT20" s="594">
        <f>AT5+AT10+AT19</f>
        <v>452.6999999999997</v>
      </c>
      <c r="AU20" s="594">
        <f>AU5+AU10+AU19</f>
        <v>485.00000000000091</v>
      </c>
      <c r="AV20" s="595">
        <f t="shared" ref="AV20" si="42">AV5+AV10+AV19</f>
        <v>1934.9000000000026</v>
      </c>
      <c r="AW20" s="596">
        <f>AW5+AW10+AW19</f>
        <v>491.19999999999948</v>
      </c>
      <c r="AX20" s="594">
        <f>AX5+AX10+AX19</f>
        <v>522.49999999999977</v>
      </c>
      <c r="AY20" s="594">
        <f>AY5+AY10+AY19</f>
        <v>458.99999999999989</v>
      </c>
      <c r="AZ20" s="594">
        <f>AZ5+AZ10+AZ19</f>
        <v>494.30000000000018</v>
      </c>
      <c r="BA20" s="595">
        <f t="shared" ref="BA20" si="43">BA5+BA10+BA19</f>
        <v>1967.0000000000011</v>
      </c>
      <c r="BB20" s="596">
        <f>BB5+BB10+BB19</f>
        <v>462.18882651999985</v>
      </c>
      <c r="BC20" s="594">
        <f>BC5+BC10+BC19</f>
        <v>394.10000000000082</v>
      </c>
      <c r="BD20" s="594">
        <f>BD5+BD10+BD19</f>
        <v>505.89999999999981</v>
      </c>
      <c r="BE20" s="594">
        <f>BE5+BE10+BE19</f>
        <v>524.00000000000011</v>
      </c>
      <c r="BF20" s="595">
        <f t="shared" ref="BF20" si="44">BF5+BF10+BF19</f>
        <v>1886.1888265199991</v>
      </c>
      <c r="BG20" s="596">
        <f>BG5+BG10+BG19</f>
        <v>561.5</v>
      </c>
      <c r="BH20" s="594">
        <f>BH5+BH10+BH19</f>
        <v>683.69999999999993</v>
      </c>
      <c r="BI20" s="694">
        <f>BI5+BI10+BI19</f>
        <v>0</v>
      </c>
      <c r="BJ20" s="694">
        <f>BJ5+BJ10+BJ19</f>
        <v>0</v>
      </c>
      <c r="BK20" s="595">
        <f t="shared" ref="BK20" si="45">BK5+BK10+BK19</f>
        <v>1245.1999999999985</v>
      </c>
    </row>
    <row r="21" spans="1:63" ht="20.100000000000001" customHeight="1">
      <c r="A21" s="56" t="s">
        <v>46</v>
      </c>
      <c r="B21" s="567" t="s">
        <v>47</v>
      </c>
      <c r="C21" s="62">
        <v>12.5</v>
      </c>
      <c r="D21" s="62">
        <v>-8.5</v>
      </c>
      <c r="E21" s="62">
        <v>5.3</v>
      </c>
      <c r="F21" s="62">
        <v>5</v>
      </c>
      <c r="G21" s="292">
        <f>SUM(C21:F21)</f>
        <v>14.3</v>
      </c>
      <c r="H21" s="63">
        <v>3.9</v>
      </c>
      <c r="I21" s="62">
        <v>0.7</v>
      </c>
      <c r="J21" s="62">
        <v>7.4</v>
      </c>
      <c r="K21" s="62">
        <v>4.0999999999999996</v>
      </c>
      <c r="L21" s="292">
        <f>SUM(H21:K21)</f>
        <v>16.100000000000001</v>
      </c>
      <c r="M21" s="63">
        <v>1.2000000000000028</v>
      </c>
      <c r="N21" s="62">
        <v>23.9</v>
      </c>
      <c r="O21" s="62">
        <v>1.5</v>
      </c>
      <c r="P21" s="62">
        <v>-11.4</v>
      </c>
      <c r="Q21" s="292">
        <f>SUM(M21:P21)</f>
        <v>15.200000000000001</v>
      </c>
      <c r="R21" s="62">
        <v>28.9</v>
      </c>
      <c r="S21" s="62">
        <v>-11.9</v>
      </c>
      <c r="T21" s="62">
        <v>-5.2</v>
      </c>
      <c r="U21" s="60">
        <v>-3.2</v>
      </c>
      <c r="V21" s="292">
        <v>8.6000000000000014</v>
      </c>
      <c r="W21" s="64">
        <v>-35.200000000000003</v>
      </c>
      <c r="X21" s="64">
        <v>-21.4</v>
      </c>
      <c r="Y21" s="43">
        <v>13.1</v>
      </c>
      <c r="Z21" s="60">
        <v>-26.3</v>
      </c>
      <c r="AA21" s="292">
        <f t="shared" si="13"/>
        <v>-69.8</v>
      </c>
      <c r="AB21" s="64">
        <v>30.5</v>
      </c>
      <c r="AC21" s="64">
        <v>-14.4</v>
      </c>
      <c r="AD21" s="43">
        <v>-28</v>
      </c>
      <c r="AE21" s="43">
        <v>19.100000000000001</v>
      </c>
      <c r="AF21" s="292">
        <f t="shared" si="14"/>
        <v>7.2000000000000028</v>
      </c>
      <c r="AG21" s="64">
        <v>-3.4</v>
      </c>
      <c r="AH21" s="62">
        <v>-34.4</v>
      </c>
      <c r="AI21" s="62">
        <v>12.7</v>
      </c>
      <c r="AJ21" s="43">
        <v>4.7</v>
      </c>
      <c r="AK21" s="292">
        <f t="shared" ref="AK21:AK23" si="46">SUM(AG21:AJ21)</f>
        <v>-20.399999999999999</v>
      </c>
      <c r="AL21" s="699"/>
      <c r="AM21" s="127">
        <v>-3.4</v>
      </c>
      <c r="AN21" s="62">
        <v>-45.9</v>
      </c>
      <c r="AO21" s="62">
        <v>11.7</v>
      </c>
      <c r="AP21" s="43">
        <v>4.6000000000000014</v>
      </c>
      <c r="AQ21" s="292">
        <f t="shared" ref="AQ21:AQ23" si="47">SUM(AM21:AP21)</f>
        <v>-32.999999999999993</v>
      </c>
      <c r="AR21" s="127">
        <v>1.3</v>
      </c>
      <c r="AS21" s="62">
        <v>13.6</v>
      </c>
      <c r="AT21" s="62">
        <v>-34.5</v>
      </c>
      <c r="AU21" s="43">
        <v>39.200000000000003</v>
      </c>
      <c r="AV21" s="292">
        <f t="shared" ref="AV21:AV23" si="48">SUM(AR21:AU21)</f>
        <v>19.600000000000001</v>
      </c>
      <c r="AW21" s="127">
        <v>-12.2</v>
      </c>
      <c r="AX21" s="62">
        <v>4.8</v>
      </c>
      <c r="AY21" s="62">
        <v>-53.8</v>
      </c>
      <c r="AZ21" s="43">
        <v>34.200000000000003</v>
      </c>
      <c r="BA21" s="292">
        <f t="shared" ref="BA21:BA23" si="49">SUM(AW21:AZ21)</f>
        <v>-26.999999999999993</v>
      </c>
      <c r="BB21" s="62">
        <v>-74.2</v>
      </c>
      <c r="BC21" s="62">
        <v>-1.2</v>
      </c>
      <c r="BD21" s="62">
        <v>-26.2</v>
      </c>
      <c r="BE21" s="43">
        <v>-11.5</v>
      </c>
      <c r="BF21" s="523">
        <f>SUM(BB21:BE21)</f>
        <v>-113.10000000000001</v>
      </c>
      <c r="BG21" s="62">
        <v>-22.4</v>
      </c>
      <c r="BH21" s="62">
        <v>7.8</v>
      </c>
      <c r="BI21" s="62"/>
      <c r="BJ21" s="43"/>
      <c r="BK21" s="292">
        <f>SUM(BG21:BJ21)</f>
        <v>-14.599999999999998</v>
      </c>
    </row>
    <row r="22" spans="1:63" s="134" customFormat="1" ht="20.100000000000001" customHeight="1">
      <c r="A22" s="129" t="s">
        <v>48</v>
      </c>
      <c r="B22" s="141" t="s">
        <v>49</v>
      </c>
      <c r="C22" s="130">
        <v>30.1</v>
      </c>
      <c r="D22" s="130">
        <v>-92.4</v>
      </c>
      <c r="E22" s="130">
        <v>-5.2</v>
      </c>
      <c r="F22" s="130">
        <v>-43.1</v>
      </c>
      <c r="G22" s="292">
        <f t="shared" ref="G22" si="50">SUM(C22:F22)</f>
        <v>-110.6</v>
      </c>
      <c r="H22" s="131">
        <v>-80.099999999999994</v>
      </c>
      <c r="I22" s="130">
        <v>-102.4</v>
      </c>
      <c r="J22" s="130">
        <v>-10.7</v>
      </c>
      <c r="K22" s="130">
        <v>-22.8</v>
      </c>
      <c r="L22" s="292">
        <f t="shared" ref="L22" si="51">SUM(H22:K22)</f>
        <v>-216</v>
      </c>
      <c r="M22" s="131">
        <v>-108.70000000000005</v>
      </c>
      <c r="N22" s="130">
        <v>-273.39999999999998</v>
      </c>
      <c r="O22" s="130">
        <v>-384.7</v>
      </c>
      <c r="P22" s="130">
        <v>-379.2</v>
      </c>
      <c r="Q22" s="292">
        <f t="shared" ref="Q22" si="52">SUM(M22:P22)</f>
        <v>-1146</v>
      </c>
      <c r="R22" s="130">
        <v>-261.3</v>
      </c>
      <c r="S22" s="130">
        <v>-222.1</v>
      </c>
      <c r="T22" s="130">
        <v>88.8</v>
      </c>
      <c r="U22" s="60">
        <v>-270</v>
      </c>
      <c r="V22" s="292">
        <v>-664.59999999999991</v>
      </c>
      <c r="W22" s="132">
        <v>-182.7</v>
      </c>
      <c r="X22" s="132">
        <v>-133.19999999999999</v>
      </c>
      <c r="Y22" s="120">
        <v>-127.3</v>
      </c>
      <c r="Z22" s="60">
        <v>-122.9</v>
      </c>
      <c r="AA22" s="292">
        <f t="shared" si="13"/>
        <v>-566.1</v>
      </c>
      <c r="AB22" s="132">
        <v>-185.5</v>
      </c>
      <c r="AC22" s="132">
        <v>-113.3</v>
      </c>
      <c r="AD22" s="120">
        <v>-104.8</v>
      </c>
      <c r="AE22" s="120">
        <v>-105.4</v>
      </c>
      <c r="AF22" s="292">
        <f t="shared" si="14"/>
        <v>-509</v>
      </c>
      <c r="AG22" s="132">
        <v>-72.599999999999994</v>
      </c>
      <c r="AH22" s="130">
        <v>-98.8</v>
      </c>
      <c r="AI22" s="130">
        <v>-100.9</v>
      </c>
      <c r="AJ22" s="120">
        <v>-113.3</v>
      </c>
      <c r="AK22" s="292">
        <f t="shared" si="46"/>
        <v>-385.59999999999997</v>
      </c>
      <c r="AL22" s="701"/>
      <c r="AM22" s="133">
        <v>-72.599999999999994</v>
      </c>
      <c r="AN22" s="130">
        <v>-98.9</v>
      </c>
      <c r="AO22" s="130">
        <v>-101.6</v>
      </c>
      <c r="AP22" s="120">
        <v>-113.59999999999997</v>
      </c>
      <c r="AQ22" s="292">
        <f t="shared" si="47"/>
        <v>-386.7</v>
      </c>
      <c r="AR22" s="133">
        <v>-102.7</v>
      </c>
      <c r="AS22" s="130">
        <v>-170</v>
      </c>
      <c r="AT22" s="130">
        <v>-97.9</v>
      </c>
      <c r="AU22" s="120">
        <v>-95.3</v>
      </c>
      <c r="AV22" s="292">
        <f t="shared" si="48"/>
        <v>-465.90000000000003</v>
      </c>
      <c r="AW22" s="133">
        <v>-102.7</v>
      </c>
      <c r="AX22" s="130">
        <v>-170</v>
      </c>
      <c r="AY22" s="130">
        <v>-97.9</v>
      </c>
      <c r="AZ22" s="120">
        <v>-95.3</v>
      </c>
      <c r="BA22" s="292">
        <f t="shared" si="49"/>
        <v>-465.90000000000003</v>
      </c>
      <c r="BB22" s="62">
        <v>-153.80000000000001</v>
      </c>
      <c r="BC22" s="130">
        <v>-47.7</v>
      </c>
      <c r="BD22" s="130">
        <v>-66.599999999999994</v>
      </c>
      <c r="BE22" s="120">
        <v>-64.900000000000006</v>
      </c>
      <c r="BF22" s="523">
        <f t="shared" ref="BF22:BF23" si="53">SUM(BB22:BE22)</f>
        <v>-333</v>
      </c>
      <c r="BG22" s="62">
        <v>-57.1</v>
      </c>
      <c r="BH22" s="62">
        <v>-60.5</v>
      </c>
      <c r="BI22" s="130"/>
      <c r="BJ22" s="120"/>
      <c r="BK22" s="292">
        <f t="shared" ref="BK22:BK23" si="54">SUM(BG22:BJ22)</f>
        <v>-117.6</v>
      </c>
    </row>
    <row r="23" spans="1:63" ht="30" customHeight="1">
      <c r="A23" s="56" t="s">
        <v>50</v>
      </c>
      <c r="B23" s="142" t="s">
        <v>51</v>
      </c>
      <c r="C23" s="62">
        <v>0.7</v>
      </c>
      <c r="D23" s="62">
        <v>0.8</v>
      </c>
      <c r="E23" s="62">
        <v>0.5</v>
      </c>
      <c r="F23" s="62">
        <v>0.8</v>
      </c>
      <c r="G23" s="292">
        <f t="shared" ref="G23" si="55">SUM(C23:F23)</f>
        <v>2.8</v>
      </c>
      <c r="H23" s="63">
        <v>0.8</v>
      </c>
      <c r="I23" s="62">
        <v>0.8</v>
      </c>
      <c r="J23" s="62">
        <v>0.7</v>
      </c>
      <c r="K23" s="62">
        <v>0.6</v>
      </c>
      <c r="L23" s="292">
        <f t="shared" ref="L23" si="56">SUM(H23:K23)</f>
        <v>2.9</v>
      </c>
      <c r="M23" s="63">
        <v>0.60000000000000009</v>
      </c>
      <c r="N23" s="62">
        <v>0.7</v>
      </c>
      <c r="O23" s="62">
        <v>0.7</v>
      </c>
      <c r="P23" s="62">
        <v>0.6</v>
      </c>
      <c r="Q23" s="292">
        <f t="shared" ref="Q23" si="57">SUM(M23:P23)</f>
        <v>2.6</v>
      </c>
      <c r="R23" s="62">
        <v>0.5</v>
      </c>
      <c r="S23" s="62">
        <v>0.9</v>
      </c>
      <c r="T23" s="62">
        <v>0.5</v>
      </c>
      <c r="U23" s="60">
        <v>0.70000000000000018</v>
      </c>
      <c r="V23" s="292">
        <v>2.6</v>
      </c>
      <c r="W23" s="64">
        <v>0.8</v>
      </c>
      <c r="X23" s="64">
        <v>-0.8</v>
      </c>
      <c r="Y23" s="53">
        <v>0</v>
      </c>
      <c r="Z23" s="53">
        <v>0</v>
      </c>
      <c r="AA23" s="292">
        <f t="shared" ref="AA23" si="58">SUM(W23:Z23)</f>
        <v>0</v>
      </c>
      <c r="AB23" s="53">
        <v>0</v>
      </c>
      <c r="AC23" s="53">
        <v>0</v>
      </c>
      <c r="AD23" s="53">
        <v>0</v>
      </c>
      <c r="AE23" s="53">
        <v>0</v>
      </c>
      <c r="AF23" s="292">
        <f t="shared" ref="AF23:AF24" si="59">SUM(AB23:AE23)</f>
        <v>0</v>
      </c>
      <c r="AG23" s="53">
        <v>0</v>
      </c>
      <c r="AH23" s="53">
        <v>0</v>
      </c>
      <c r="AI23" s="53">
        <v>0</v>
      </c>
      <c r="AJ23" s="53">
        <v>0</v>
      </c>
      <c r="AK23" s="292">
        <f t="shared" si="46"/>
        <v>0</v>
      </c>
      <c r="AL23" s="702"/>
      <c r="AM23" s="91">
        <v>0</v>
      </c>
      <c r="AN23" s="53">
        <v>0</v>
      </c>
      <c r="AO23" s="53">
        <v>0</v>
      </c>
      <c r="AP23" s="53">
        <v>0</v>
      </c>
      <c r="AQ23" s="292">
        <f t="shared" si="47"/>
        <v>0</v>
      </c>
      <c r="AR23" s="91">
        <v>0</v>
      </c>
      <c r="AS23" s="53">
        <v>0</v>
      </c>
      <c r="AT23" s="53">
        <v>0</v>
      </c>
      <c r="AU23" s="53">
        <v>0</v>
      </c>
      <c r="AV23" s="292">
        <f t="shared" si="48"/>
        <v>0</v>
      </c>
      <c r="AW23" s="91">
        <v>0</v>
      </c>
      <c r="AX23" s="53">
        <v>0</v>
      </c>
      <c r="AY23" s="53">
        <v>0</v>
      </c>
      <c r="AZ23" s="53">
        <v>0</v>
      </c>
      <c r="BA23" s="292">
        <f t="shared" si="49"/>
        <v>0</v>
      </c>
      <c r="BB23" s="53">
        <v>0</v>
      </c>
      <c r="BC23" s="53">
        <v>0</v>
      </c>
      <c r="BD23" s="53">
        <v>0</v>
      </c>
      <c r="BE23" s="53">
        <v>0</v>
      </c>
      <c r="BF23" s="523">
        <f t="shared" si="53"/>
        <v>0</v>
      </c>
      <c r="BG23" s="53">
        <v>0</v>
      </c>
      <c r="BH23" s="62"/>
      <c r="BI23" s="53"/>
      <c r="BJ23" s="53"/>
      <c r="BK23" s="292">
        <f t="shared" si="54"/>
        <v>0</v>
      </c>
    </row>
    <row r="24" spans="1:63" ht="30" customHeight="1">
      <c r="A24" s="56" t="s">
        <v>52</v>
      </c>
      <c r="B24" s="142" t="s">
        <v>53</v>
      </c>
      <c r="C24" s="62"/>
      <c r="D24" s="62"/>
      <c r="E24" s="62"/>
      <c r="F24" s="62"/>
      <c r="G24" s="292"/>
      <c r="H24" s="63"/>
      <c r="I24" s="62"/>
      <c r="J24" s="62"/>
      <c r="K24" s="62"/>
      <c r="L24" s="292"/>
      <c r="M24" s="63"/>
      <c r="N24" s="62"/>
      <c r="O24" s="62"/>
      <c r="P24" s="62"/>
      <c r="Q24" s="292"/>
      <c r="R24" s="62"/>
      <c r="S24" s="62"/>
      <c r="T24" s="62"/>
      <c r="U24" s="60"/>
      <c r="V24" s="292"/>
      <c r="W24" s="64"/>
      <c r="X24" s="64"/>
      <c r="Y24" s="53"/>
      <c r="Z24" s="53"/>
      <c r="AA24" s="292"/>
      <c r="AB24" s="53"/>
      <c r="AC24" s="53"/>
      <c r="AD24" s="53"/>
      <c r="AE24" s="53">
        <v>2.8</v>
      </c>
      <c r="AF24" s="292">
        <f t="shared" si="59"/>
        <v>2.8</v>
      </c>
      <c r="AG24" s="53">
        <v>5.2</v>
      </c>
      <c r="AH24" s="95">
        <v>-0.1</v>
      </c>
      <c r="AI24" s="95">
        <v>-3.5</v>
      </c>
      <c r="AJ24" s="43">
        <v>-2.8</v>
      </c>
      <c r="AK24" s="292">
        <f t="shared" ref="AK24" si="60">SUM(AG24:AJ24)</f>
        <v>-1.1999999999999993</v>
      </c>
      <c r="AL24" s="699"/>
      <c r="AM24" s="91">
        <v>5.2</v>
      </c>
      <c r="AN24" s="95">
        <v>-0.1</v>
      </c>
      <c r="AO24" s="95">
        <v>-3.5</v>
      </c>
      <c r="AP24" s="53">
        <v>-2.8</v>
      </c>
      <c r="AQ24" s="292">
        <f t="shared" ref="AQ24" si="61">SUM(AM24:AP24)</f>
        <v>-1.1999999999999993</v>
      </c>
      <c r="AR24" s="91">
        <v>-1.7</v>
      </c>
      <c r="AS24" s="95">
        <v>-1.9</v>
      </c>
      <c r="AT24" s="95">
        <v>-1.3</v>
      </c>
      <c r="AU24" s="53">
        <v>-1.6</v>
      </c>
      <c r="AV24" s="292">
        <f>SUM(AR24:AU24)</f>
        <v>-6.5</v>
      </c>
      <c r="AW24" s="91">
        <v>-1.7</v>
      </c>
      <c r="AX24" s="95">
        <v>-1.9</v>
      </c>
      <c r="AY24" s="95">
        <v>-1.3</v>
      </c>
      <c r="AZ24" s="53">
        <v>-1.6</v>
      </c>
      <c r="BA24" s="292">
        <f>SUM(AW24:AZ24)</f>
        <v>-6.5</v>
      </c>
      <c r="BB24" s="62">
        <v>16.3</v>
      </c>
      <c r="BC24" s="95">
        <v>17.8</v>
      </c>
      <c r="BD24" s="95">
        <v>13.5</v>
      </c>
      <c r="BE24" s="53">
        <v>-45.6</v>
      </c>
      <c r="BF24" s="523">
        <f>SUM(BB24:BE24)</f>
        <v>2</v>
      </c>
      <c r="BG24" s="62">
        <v>16.5</v>
      </c>
      <c r="BH24" s="62">
        <v>25</v>
      </c>
      <c r="BI24" s="95"/>
      <c r="BJ24" s="53"/>
      <c r="BK24" s="292">
        <f>SUM(BG24:BJ24)</f>
        <v>41.5</v>
      </c>
    </row>
    <row r="25" spans="1:63" s="599" customFormat="1" ht="22.5" customHeight="1">
      <c r="A25" s="592" t="s">
        <v>54</v>
      </c>
      <c r="B25" s="593" t="s">
        <v>55</v>
      </c>
      <c r="C25" s="594">
        <f t="shared" ref="C25:AD25" si="62">C20+C21+C22+C23+C24</f>
        <v>246.30000000000004</v>
      </c>
      <c r="D25" s="594">
        <f t="shared" si="62"/>
        <v>112.89999999999996</v>
      </c>
      <c r="E25" s="594">
        <f t="shared" si="62"/>
        <v>198.20000000000005</v>
      </c>
      <c r="F25" s="594">
        <f t="shared" si="62"/>
        <v>138.20000000000019</v>
      </c>
      <c r="G25" s="595">
        <f t="shared" si="62"/>
        <v>695.59999999999911</v>
      </c>
      <c r="H25" s="596">
        <f t="shared" si="62"/>
        <v>109.27999999999996</v>
      </c>
      <c r="I25" s="594">
        <f t="shared" si="62"/>
        <v>94.09999999999998</v>
      </c>
      <c r="J25" s="594">
        <f t="shared" si="62"/>
        <v>200.79999999999998</v>
      </c>
      <c r="K25" s="594">
        <f t="shared" si="62"/>
        <v>188.69999999999993</v>
      </c>
      <c r="L25" s="595">
        <f t="shared" si="62"/>
        <v>592.88000000000034</v>
      </c>
      <c r="M25" s="596">
        <f t="shared" si="62"/>
        <v>112.59999999999977</v>
      </c>
      <c r="N25" s="594">
        <f t="shared" si="62"/>
        <v>148.7999999999999</v>
      </c>
      <c r="O25" s="594">
        <f t="shared" si="62"/>
        <v>49.299999999999685</v>
      </c>
      <c r="P25" s="594">
        <f t="shared" si="62"/>
        <v>3.5000000000007732</v>
      </c>
      <c r="Q25" s="595">
        <f t="shared" si="62"/>
        <v>314.19999999999925</v>
      </c>
      <c r="R25" s="594">
        <f t="shared" si="62"/>
        <v>196.79999999999995</v>
      </c>
      <c r="S25" s="594">
        <f t="shared" si="62"/>
        <v>350.4</v>
      </c>
      <c r="T25" s="594">
        <f t="shared" si="62"/>
        <v>613.29999999999961</v>
      </c>
      <c r="U25" s="594">
        <f t="shared" si="62"/>
        <v>171.90000000000038</v>
      </c>
      <c r="V25" s="595">
        <f t="shared" si="62"/>
        <v>1332.3999999999994</v>
      </c>
      <c r="W25" s="594">
        <f t="shared" si="62"/>
        <v>205.70000000000005</v>
      </c>
      <c r="X25" s="594">
        <f t="shared" si="62"/>
        <v>252.10000000000014</v>
      </c>
      <c r="Y25" s="597">
        <f t="shared" si="62"/>
        <v>334.90000000000038</v>
      </c>
      <c r="Z25" s="597">
        <f t="shared" si="62"/>
        <v>240.69999999999996</v>
      </c>
      <c r="AA25" s="595">
        <f t="shared" si="62"/>
        <v>1033.4000000000001</v>
      </c>
      <c r="AB25" s="594">
        <f t="shared" si="62"/>
        <v>302.20000000000033</v>
      </c>
      <c r="AC25" s="594">
        <f t="shared" si="62"/>
        <v>389.2999999999999</v>
      </c>
      <c r="AD25" s="594">
        <f t="shared" si="62"/>
        <v>289.10000000000002</v>
      </c>
      <c r="AE25" s="594">
        <f>AE20+AE21+AE22+AE23+AE24</f>
        <v>354.40000000000003</v>
      </c>
      <c r="AF25" s="595">
        <f t="shared" ref="AF25:AJ25" si="63">AF20+AF21+AF22+AF23+AF24</f>
        <v>1335.0000000000007</v>
      </c>
      <c r="AG25" s="594">
        <f t="shared" si="63"/>
        <v>393.49999999999972</v>
      </c>
      <c r="AH25" s="594">
        <f>AH20+AH21+AH22+AH23+AH24</f>
        <v>355.19999999999987</v>
      </c>
      <c r="AI25" s="594">
        <f>AI20+AI21+AI22+AI23+AI24</f>
        <v>304.30000000000007</v>
      </c>
      <c r="AJ25" s="598">
        <f t="shared" si="63"/>
        <v>304.59999999999997</v>
      </c>
      <c r="AK25" s="595">
        <f>AK20+AK21+AK22+AK23+AK24</f>
        <v>1357.5999999999997</v>
      </c>
      <c r="AL25" s="564"/>
      <c r="AM25" s="596">
        <f t="shared" ref="AM25:AO25" si="64">AM20+AM21+AM22+AM23+AM24</f>
        <v>364.7</v>
      </c>
      <c r="AN25" s="594">
        <f t="shared" si="64"/>
        <v>330.69999999999982</v>
      </c>
      <c r="AO25" s="594">
        <f t="shared" si="64"/>
        <v>303.0999999999998</v>
      </c>
      <c r="AP25" s="598">
        <f>AP20+AP21+AP22+AP23+AP24</f>
        <v>307.59999999999997</v>
      </c>
      <c r="AQ25" s="595">
        <f>AQ20+AQ21+AQ22+AQ23+AQ24</f>
        <v>1306.1000000000029</v>
      </c>
      <c r="AR25" s="596">
        <f>AR20+AR21+AR22+AR23+AR24</f>
        <v>378.80000000000024</v>
      </c>
      <c r="AS25" s="594">
        <f t="shared" ref="AS25:AU25" si="65">AS20+AS21+AS22+AS23+AS24</f>
        <v>357</v>
      </c>
      <c r="AT25" s="594">
        <f t="shared" si="65"/>
        <v>318.99999999999972</v>
      </c>
      <c r="AU25" s="594">
        <f t="shared" si="65"/>
        <v>427.30000000000092</v>
      </c>
      <c r="AV25" s="595">
        <f>AV20+AV21+AV22+AV23+AV24</f>
        <v>1482.1000000000024</v>
      </c>
      <c r="AW25" s="596">
        <f>AW20+AW21+AW22+AW24+AW23</f>
        <v>374.59999999999951</v>
      </c>
      <c r="AX25" s="594">
        <f t="shared" ref="AX25:AZ25" si="66">AX20+AX21+AX22+AX23+AX24</f>
        <v>355.39999999999975</v>
      </c>
      <c r="AY25" s="594">
        <f t="shared" si="66"/>
        <v>305.99999999999983</v>
      </c>
      <c r="AZ25" s="594">
        <f t="shared" si="66"/>
        <v>431.60000000000019</v>
      </c>
      <c r="BA25" s="595">
        <f>BA20+BA21+BA22+BA23+BA24</f>
        <v>1467.600000000001</v>
      </c>
      <c r="BB25" s="596">
        <f>BB20+BB21+BB22+BB24+BB23</f>
        <v>250.48882651999986</v>
      </c>
      <c r="BC25" s="594">
        <f t="shared" ref="BC25:BE25" si="67">BC20+BC21+BC22+BC23+BC24</f>
        <v>363.00000000000085</v>
      </c>
      <c r="BD25" s="594">
        <f t="shared" si="67"/>
        <v>426.5999999999998</v>
      </c>
      <c r="BE25" s="594">
        <f t="shared" si="67"/>
        <v>402.00000000000011</v>
      </c>
      <c r="BF25" s="595">
        <f>BF20+BF21+BF22+BF23+BF24</f>
        <v>1442.0888265199992</v>
      </c>
      <c r="BG25" s="596">
        <f>BG20+BG21+BG22+BG24+BG23</f>
        <v>498.5</v>
      </c>
      <c r="BH25" s="594">
        <f t="shared" ref="BH25:BJ25" si="68">BH20+BH21+BH22+BH23+BH24</f>
        <v>655.99999999999989</v>
      </c>
      <c r="BI25" s="694">
        <f t="shared" si="68"/>
        <v>0</v>
      </c>
      <c r="BJ25" s="694">
        <f t="shared" si="68"/>
        <v>0</v>
      </c>
      <c r="BK25" s="595">
        <f>BK20+BK21+BK22+BK23+BK24</f>
        <v>1154.4999999999986</v>
      </c>
    </row>
    <row r="26" spans="1:63" ht="20.100000000000001" customHeight="1">
      <c r="A26" s="56" t="s">
        <v>56</v>
      </c>
      <c r="B26" s="567" t="s">
        <v>57</v>
      </c>
      <c r="C26" s="62">
        <v>-41.2</v>
      </c>
      <c r="D26" s="62">
        <v>-13.4</v>
      </c>
      <c r="E26" s="62">
        <v>-26.2</v>
      </c>
      <c r="F26" s="62">
        <v>-16.600000000000001</v>
      </c>
      <c r="G26" s="292">
        <f>SUM(C26:F26)</f>
        <v>-97.4</v>
      </c>
      <c r="H26" s="63">
        <v>-14.1</v>
      </c>
      <c r="I26" s="62">
        <v>-13.4</v>
      </c>
      <c r="J26" s="62">
        <v>-24.4</v>
      </c>
      <c r="K26" s="62">
        <v>-15.5</v>
      </c>
      <c r="L26" s="292">
        <f>SUM(H26:K26)</f>
        <v>-67.400000000000006</v>
      </c>
      <c r="M26" s="63">
        <v>-14.400000000000002</v>
      </c>
      <c r="N26" s="62">
        <v>-16.7</v>
      </c>
      <c r="O26" s="62">
        <v>-1.1000000000000001</v>
      </c>
      <c r="P26" s="62">
        <v>10.5</v>
      </c>
      <c r="Q26" s="292">
        <f>SUM(M26:P26)</f>
        <v>-21.700000000000003</v>
      </c>
      <c r="R26" s="62">
        <v>-26</v>
      </c>
      <c r="S26" s="62">
        <v>-45.9</v>
      </c>
      <c r="T26" s="62">
        <v>-110.8</v>
      </c>
      <c r="U26" s="64">
        <v>13.7</v>
      </c>
      <c r="V26" s="292">
        <v>-169</v>
      </c>
      <c r="W26" s="64">
        <v>-27.2</v>
      </c>
      <c r="X26" s="64">
        <v>-21.2</v>
      </c>
      <c r="Y26" s="43">
        <v>-65.099999999999994</v>
      </c>
      <c r="Z26" s="64">
        <v>101.1</v>
      </c>
      <c r="AA26" s="292">
        <f t="shared" si="13"/>
        <v>-12.400000000000006</v>
      </c>
      <c r="AB26" s="64">
        <v>-30.8</v>
      </c>
      <c r="AC26" s="64">
        <v>-107.6</v>
      </c>
      <c r="AD26" s="43">
        <v>-54.2</v>
      </c>
      <c r="AE26" s="64">
        <v>-197.2</v>
      </c>
      <c r="AF26" s="292">
        <f t="shared" si="14"/>
        <v>-389.8</v>
      </c>
      <c r="AG26" s="64">
        <v>-78</v>
      </c>
      <c r="AH26" s="64">
        <v>-102.1</v>
      </c>
      <c r="AI26" s="104">
        <v>-77.3</v>
      </c>
      <c r="AJ26" s="64">
        <v>-246.74845572261776</v>
      </c>
      <c r="AK26" s="292">
        <f>SUM(AG26:AJ26)</f>
        <v>-504.14845572261777</v>
      </c>
      <c r="AL26" s="699"/>
      <c r="AM26" s="127">
        <v>-72.5</v>
      </c>
      <c r="AN26" s="64">
        <v>-99.3</v>
      </c>
      <c r="AO26" s="105">
        <v>-76</v>
      </c>
      <c r="AP26" s="64">
        <v>-242.2</v>
      </c>
      <c r="AQ26" s="292">
        <f>SUM(AM26:AP26)</f>
        <v>-490</v>
      </c>
      <c r="AR26" s="127">
        <v>-78</v>
      </c>
      <c r="AS26" s="64">
        <v>-86.9</v>
      </c>
      <c r="AT26" s="64">
        <v>-72</v>
      </c>
      <c r="AU26" s="64">
        <v>-118.9</v>
      </c>
      <c r="AV26" s="292">
        <f>SUM(AR26:AU26)</f>
        <v>-355.8</v>
      </c>
      <c r="AW26" s="127">
        <v>-77.3</v>
      </c>
      <c r="AX26" s="64">
        <v>-86.5</v>
      </c>
      <c r="AY26" s="105">
        <v>-69.5</v>
      </c>
      <c r="AZ26" s="64">
        <v>-119.7</v>
      </c>
      <c r="BA26" s="292">
        <f>SUM(AW26:AZ26)</f>
        <v>-353</v>
      </c>
      <c r="BB26" s="127">
        <v>-66.7</v>
      </c>
      <c r="BC26" s="64">
        <v>-72.3</v>
      </c>
      <c r="BD26" s="105">
        <v>-81.599999999999994</v>
      </c>
      <c r="BE26" s="64">
        <v>-75.3</v>
      </c>
      <c r="BF26" s="523">
        <f>SUM(BB26:BE26)</f>
        <v>-295.89999999999998</v>
      </c>
      <c r="BG26" s="127">
        <v>-108.1</v>
      </c>
      <c r="BH26" s="62">
        <v>-114.3</v>
      </c>
      <c r="BI26" s="62"/>
      <c r="BJ26" s="62"/>
      <c r="BK26" s="292">
        <f>SUM(BG26:BJ26)</f>
        <v>-222.39999999999998</v>
      </c>
    </row>
    <row r="27" spans="1:63" s="599" customFormat="1" ht="22.5" customHeight="1">
      <c r="A27" s="592" t="s">
        <v>58</v>
      </c>
      <c r="B27" s="593" t="s">
        <v>59</v>
      </c>
      <c r="C27" s="594">
        <f t="shared" ref="C27:AA27" si="69">C25+C26</f>
        <v>205.10000000000002</v>
      </c>
      <c r="D27" s="594">
        <f t="shared" si="69"/>
        <v>99.499999999999957</v>
      </c>
      <c r="E27" s="594">
        <f t="shared" si="69"/>
        <v>172.00000000000006</v>
      </c>
      <c r="F27" s="594">
        <f t="shared" si="69"/>
        <v>121.60000000000019</v>
      </c>
      <c r="G27" s="595">
        <f>G25+G26</f>
        <v>598.19999999999914</v>
      </c>
      <c r="H27" s="596">
        <f t="shared" si="69"/>
        <v>95.179999999999964</v>
      </c>
      <c r="I27" s="594">
        <f t="shared" si="69"/>
        <v>80.699999999999974</v>
      </c>
      <c r="J27" s="594">
        <f t="shared" si="69"/>
        <v>176.39999999999998</v>
      </c>
      <c r="K27" s="594">
        <f t="shared" si="69"/>
        <v>173.19999999999993</v>
      </c>
      <c r="L27" s="595">
        <f t="shared" si="69"/>
        <v>525.48000000000036</v>
      </c>
      <c r="M27" s="596">
        <f t="shared" si="69"/>
        <v>98.199999999999761</v>
      </c>
      <c r="N27" s="594">
        <f t="shared" si="69"/>
        <v>132.09999999999991</v>
      </c>
      <c r="O27" s="594">
        <f t="shared" si="69"/>
        <v>48.199999999999683</v>
      </c>
      <c r="P27" s="594">
        <f t="shared" si="69"/>
        <v>14.000000000000773</v>
      </c>
      <c r="Q27" s="595">
        <f t="shared" si="69"/>
        <v>292.49999999999926</v>
      </c>
      <c r="R27" s="594">
        <f t="shared" si="69"/>
        <v>170.79999999999995</v>
      </c>
      <c r="S27" s="594">
        <f t="shared" si="69"/>
        <v>304.5</v>
      </c>
      <c r="T27" s="594">
        <f t="shared" si="69"/>
        <v>502.4999999999996</v>
      </c>
      <c r="U27" s="594">
        <f t="shared" si="69"/>
        <v>185.60000000000036</v>
      </c>
      <c r="V27" s="595">
        <f t="shared" si="69"/>
        <v>1163.3999999999994</v>
      </c>
      <c r="W27" s="594">
        <f t="shared" si="69"/>
        <v>178.50000000000006</v>
      </c>
      <c r="X27" s="594">
        <f t="shared" si="69"/>
        <v>230.90000000000015</v>
      </c>
      <c r="Y27" s="597">
        <f t="shared" si="69"/>
        <v>269.80000000000041</v>
      </c>
      <c r="Z27" s="597">
        <f t="shared" si="69"/>
        <v>341.79999999999995</v>
      </c>
      <c r="AA27" s="595">
        <f t="shared" si="69"/>
        <v>1021.0000000000001</v>
      </c>
      <c r="AB27" s="594">
        <f t="shared" ref="AB27:AK27" si="70">AB25+AB26</f>
        <v>271.40000000000032</v>
      </c>
      <c r="AC27" s="594">
        <f t="shared" si="70"/>
        <v>281.69999999999993</v>
      </c>
      <c r="AD27" s="594">
        <f t="shared" si="70"/>
        <v>234.90000000000003</v>
      </c>
      <c r="AE27" s="594">
        <f t="shared" si="70"/>
        <v>157.20000000000005</v>
      </c>
      <c r="AF27" s="595">
        <f t="shared" si="70"/>
        <v>945.20000000000073</v>
      </c>
      <c r="AG27" s="594">
        <f t="shared" si="70"/>
        <v>315.49999999999972</v>
      </c>
      <c r="AH27" s="594">
        <f t="shared" si="70"/>
        <v>253.09999999999988</v>
      </c>
      <c r="AI27" s="594">
        <f t="shared" si="70"/>
        <v>227.00000000000006</v>
      </c>
      <c r="AJ27" s="598">
        <f t="shared" si="70"/>
        <v>57.851544277382203</v>
      </c>
      <c r="AK27" s="595">
        <f t="shared" si="70"/>
        <v>853.45154427738191</v>
      </c>
      <c r="AL27" s="564"/>
      <c r="AM27" s="596">
        <f t="shared" ref="AM27:AU27" si="71">AM25+AM26</f>
        <v>292.2</v>
      </c>
      <c r="AN27" s="594">
        <f t="shared" si="71"/>
        <v>231.39999999999981</v>
      </c>
      <c r="AO27" s="594">
        <f t="shared" si="71"/>
        <v>227.0999999999998</v>
      </c>
      <c r="AP27" s="598">
        <f t="shared" si="71"/>
        <v>65.399999999999977</v>
      </c>
      <c r="AQ27" s="595">
        <f t="shared" si="71"/>
        <v>816.10000000000286</v>
      </c>
      <c r="AR27" s="596">
        <f>AR25+AR26</f>
        <v>300.80000000000024</v>
      </c>
      <c r="AS27" s="594">
        <f t="shared" si="71"/>
        <v>270.10000000000002</v>
      </c>
      <c r="AT27" s="594">
        <f t="shared" si="71"/>
        <v>246.99999999999972</v>
      </c>
      <c r="AU27" s="594">
        <f t="shared" si="71"/>
        <v>308.40000000000089</v>
      </c>
      <c r="AV27" s="595">
        <f t="shared" ref="AV27" si="72">AV25+AV26</f>
        <v>1126.3000000000025</v>
      </c>
      <c r="AW27" s="596">
        <f t="shared" ref="AW27:AZ27" si="73">AW25+AW26</f>
        <v>297.2999999999995</v>
      </c>
      <c r="AX27" s="594">
        <f t="shared" si="73"/>
        <v>268.89999999999975</v>
      </c>
      <c r="AY27" s="594">
        <f t="shared" si="73"/>
        <v>236.49999999999983</v>
      </c>
      <c r="AZ27" s="594">
        <f t="shared" si="73"/>
        <v>311.9000000000002</v>
      </c>
      <c r="BA27" s="595">
        <f t="shared" ref="BA27" si="74">BA25+BA26</f>
        <v>1114.600000000001</v>
      </c>
      <c r="BB27" s="596">
        <f t="shared" ref="BB27:BF27" si="75">BB25+BB26</f>
        <v>183.78882651999987</v>
      </c>
      <c r="BC27" s="594">
        <f t="shared" si="75"/>
        <v>290.70000000000084</v>
      </c>
      <c r="BD27" s="594">
        <f t="shared" si="75"/>
        <v>344.99999999999977</v>
      </c>
      <c r="BE27" s="594">
        <f t="shared" si="75"/>
        <v>326.7000000000001</v>
      </c>
      <c r="BF27" s="595">
        <f t="shared" si="75"/>
        <v>1146.1888265199991</v>
      </c>
      <c r="BG27" s="596">
        <f t="shared" ref="BG27:BK27" si="76">BG25+BG26</f>
        <v>390.4</v>
      </c>
      <c r="BH27" s="594">
        <f t="shared" si="76"/>
        <v>541.69999999999993</v>
      </c>
      <c r="BI27" s="694">
        <f t="shared" si="76"/>
        <v>0</v>
      </c>
      <c r="BJ27" s="694">
        <f t="shared" si="76"/>
        <v>0</v>
      </c>
      <c r="BK27" s="595">
        <f t="shared" si="76"/>
        <v>932.09999999999866</v>
      </c>
    </row>
    <row r="28" spans="1:63" ht="30" customHeight="1">
      <c r="A28" s="56" t="s">
        <v>60</v>
      </c>
      <c r="B28" s="138" t="s">
        <v>61</v>
      </c>
      <c r="C28" s="62">
        <f>C27</f>
        <v>205.10000000000002</v>
      </c>
      <c r="D28" s="62">
        <f t="shared" ref="D28:V28" si="77">D27</f>
        <v>99.499999999999957</v>
      </c>
      <c r="E28" s="62">
        <f t="shared" si="77"/>
        <v>172.00000000000006</v>
      </c>
      <c r="F28" s="62">
        <f t="shared" si="77"/>
        <v>121.60000000000019</v>
      </c>
      <c r="G28" s="292">
        <f t="shared" si="77"/>
        <v>598.19999999999914</v>
      </c>
      <c r="H28" s="63">
        <f t="shared" si="77"/>
        <v>95.179999999999964</v>
      </c>
      <c r="I28" s="62">
        <f t="shared" si="77"/>
        <v>80.699999999999974</v>
      </c>
      <c r="J28" s="62">
        <f t="shared" si="77"/>
        <v>176.39999999999998</v>
      </c>
      <c r="K28" s="62">
        <f t="shared" si="77"/>
        <v>173.19999999999993</v>
      </c>
      <c r="L28" s="292">
        <f t="shared" si="77"/>
        <v>525.48000000000036</v>
      </c>
      <c r="M28" s="63">
        <f t="shared" si="77"/>
        <v>98.199999999999761</v>
      </c>
      <c r="N28" s="62">
        <f t="shared" si="77"/>
        <v>132.09999999999991</v>
      </c>
      <c r="O28" s="62">
        <f t="shared" si="77"/>
        <v>48.199999999999683</v>
      </c>
      <c r="P28" s="62">
        <f t="shared" si="77"/>
        <v>14.000000000000773</v>
      </c>
      <c r="Q28" s="292">
        <f t="shared" si="77"/>
        <v>292.49999999999926</v>
      </c>
      <c r="R28" s="62">
        <f t="shared" si="77"/>
        <v>170.79999999999995</v>
      </c>
      <c r="S28" s="62">
        <f t="shared" si="77"/>
        <v>304.5</v>
      </c>
      <c r="T28" s="62">
        <f t="shared" si="77"/>
        <v>502.4999999999996</v>
      </c>
      <c r="U28" s="66">
        <f t="shared" si="77"/>
        <v>185.60000000000036</v>
      </c>
      <c r="V28" s="292">
        <f t="shared" si="77"/>
        <v>1163.3999999999994</v>
      </c>
      <c r="W28" s="64">
        <v>175.5</v>
      </c>
      <c r="X28" s="64">
        <v>237.7</v>
      </c>
      <c r="Y28" s="43">
        <v>278.2</v>
      </c>
      <c r="Z28" s="66">
        <v>349.9</v>
      </c>
      <c r="AA28" s="292">
        <f t="shared" si="13"/>
        <v>1041.3</v>
      </c>
      <c r="AB28" s="64">
        <v>279.39999999999998</v>
      </c>
      <c r="AC28" s="64">
        <v>291.2</v>
      </c>
      <c r="AD28" s="43">
        <v>242.9</v>
      </c>
      <c r="AE28" s="43">
        <v>167.1</v>
      </c>
      <c r="AF28" s="292">
        <f t="shared" si="14"/>
        <v>980.59999999999991</v>
      </c>
      <c r="AG28" s="62"/>
      <c r="AH28" s="64"/>
      <c r="AI28" s="104"/>
      <c r="AJ28" s="43"/>
      <c r="AK28" s="292">
        <f t="shared" ref="AK28:AK29" si="78">SUM(AG28:AJ28)</f>
        <v>0</v>
      </c>
      <c r="AL28" s="699"/>
      <c r="AM28" s="92">
        <v>300.8</v>
      </c>
      <c r="AN28" s="64">
        <v>235.8</v>
      </c>
      <c r="AO28" s="64">
        <v>226.1</v>
      </c>
      <c r="AP28" s="43">
        <v>70.900000000000006</v>
      </c>
      <c r="AQ28" s="292">
        <f t="shared" ref="AQ28:AQ29" si="79">SUM(AM28:AP28)</f>
        <v>833.6</v>
      </c>
      <c r="AR28" s="92"/>
      <c r="AS28" s="64"/>
      <c r="AT28" s="64"/>
      <c r="AU28" s="43"/>
      <c r="AV28" s="292"/>
      <c r="AW28" s="92">
        <v>291.89999999999998</v>
      </c>
      <c r="AX28" s="64">
        <v>263.60000000000002</v>
      </c>
      <c r="AY28" s="64">
        <v>231.3</v>
      </c>
      <c r="AZ28" s="43">
        <v>313.8</v>
      </c>
      <c r="BA28" s="292">
        <f t="shared" ref="BA28:BA29" si="80">SUM(AW28:AZ28)</f>
        <v>1100.5999999999999</v>
      </c>
      <c r="BB28" s="92">
        <v>182.4</v>
      </c>
      <c r="BC28" s="64">
        <v>288.39999999999998</v>
      </c>
      <c r="BD28" s="568">
        <v>345.9</v>
      </c>
      <c r="BE28" s="43">
        <v>324.89999999999998</v>
      </c>
      <c r="BF28" s="523">
        <f>SUM(BB28:BE28)</f>
        <v>1141.5999999999999</v>
      </c>
      <c r="BG28" s="92">
        <v>389.6</v>
      </c>
      <c r="BH28" s="62">
        <v>539.29999999999995</v>
      </c>
      <c r="BI28" s="568"/>
      <c r="BJ28" s="43"/>
      <c r="BK28" s="292">
        <f>SUM(BG28:BJ28)</f>
        <v>928.9</v>
      </c>
    </row>
    <row r="29" spans="1:63" ht="30" customHeight="1">
      <c r="A29" s="56" t="s">
        <v>62</v>
      </c>
      <c r="B29" s="138" t="s">
        <v>63</v>
      </c>
      <c r="C29" s="62"/>
      <c r="D29" s="62"/>
      <c r="E29" s="62"/>
      <c r="F29" s="62"/>
      <c r="G29" s="292"/>
      <c r="H29" s="63"/>
      <c r="I29" s="62"/>
      <c r="J29" s="62"/>
      <c r="K29" s="62"/>
      <c r="L29" s="292"/>
      <c r="M29" s="63"/>
      <c r="N29" s="62"/>
      <c r="O29" s="62"/>
      <c r="P29" s="62"/>
      <c r="Q29" s="292"/>
      <c r="R29" s="62"/>
      <c r="S29" s="62"/>
      <c r="T29" s="62"/>
      <c r="U29" s="66"/>
      <c r="V29" s="292"/>
      <c r="W29" s="64">
        <v>3</v>
      </c>
      <c r="X29" s="64">
        <v>-6.8</v>
      </c>
      <c r="Y29" s="43">
        <v>-8.4</v>
      </c>
      <c r="Z29" s="66">
        <v>-8.1</v>
      </c>
      <c r="AA29" s="292">
        <f t="shared" si="13"/>
        <v>-20.299999999999997</v>
      </c>
      <c r="AB29" s="64">
        <v>-8</v>
      </c>
      <c r="AC29" s="64">
        <v>-9.5</v>
      </c>
      <c r="AD29" s="43">
        <v>-8</v>
      </c>
      <c r="AE29" s="43">
        <v>-9.9</v>
      </c>
      <c r="AF29" s="292">
        <f t="shared" si="14"/>
        <v>-35.4</v>
      </c>
      <c r="AG29" s="62"/>
      <c r="AH29" s="64"/>
      <c r="AI29" s="104"/>
      <c r="AJ29" s="43"/>
      <c r="AK29" s="292">
        <f t="shared" si="78"/>
        <v>0</v>
      </c>
      <c r="AL29" s="699"/>
      <c r="AM29" s="92">
        <v>-8.6</v>
      </c>
      <c r="AN29" s="64">
        <v>-4.4000000000000004</v>
      </c>
      <c r="AO29" s="64">
        <v>1</v>
      </c>
      <c r="AP29" s="43">
        <v>-5.5</v>
      </c>
      <c r="AQ29" s="292">
        <f t="shared" si="79"/>
        <v>-17.5</v>
      </c>
      <c r="AR29" s="92"/>
      <c r="AS29" s="64"/>
      <c r="AT29" s="64"/>
      <c r="AU29" s="43"/>
      <c r="AV29" s="292"/>
      <c r="AW29" s="92">
        <v>5.4</v>
      </c>
      <c r="AX29" s="64">
        <v>5.3</v>
      </c>
      <c r="AY29" s="64">
        <v>5.2</v>
      </c>
      <c r="AZ29" s="43">
        <v>-1.9</v>
      </c>
      <c r="BA29" s="292">
        <f t="shared" si="80"/>
        <v>13.999999999999998</v>
      </c>
      <c r="BB29" s="92">
        <v>1.4</v>
      </c>
      <c r="BC29" s="64">
        <v>2.2999999999999998</v>
      </c>
      <c r="BD29" s="64">
        <v>-0.9</v>
      </c>
      <c r="BE29" s="43">
        <v>1.8</v>
      </c>
      <c r="BF29" s="523">
        <f t="shared" ref="BF29" si="81">SUM(BB29:BE29)</f>
        <v>4.5999999999999996</v>
      </c>
      <c r="BG29" s="92">
        <v>0.8</v>
      </c>
      <c r="BH29" s="62">
        <v>2.4</v>
      </c>
      <c r="BI29" s="64"/>
      <c r="BJ29" s="43"/>
      <c r="BK29" s="292">
        <f t="shared" ref="BK29" si="82">SUM(BG29:BJ29)</f>
        <v>3.2</v>
      </c>
    </row>
    <row r="30" spans="1:63" s="61" customFormat="1" ht="20.100000000000001" customHeight="1">
      <c r="A30" s="67" t="s">
        <v>64</v>
      </c>
      <c r="B30" s="143" t="s">
        <v>65</v>
      </c>
      <c r="C30" s="68">
        <f t="shared" ref="C30:M30" si="83">ROUND(C27/348.352836,2)</f>
        <v>0.59</v>
      </c>
      <c r="D30" s="68">
        <f t="shared" si="83"/>
        <v>0.28999999999999998</v>
      </c>
      <c r="E30" s="68">
        <f t="shared" si="83"/>
        <v>0.49</v>
      </c>
      <c r="F30" s="68">
        <f t="shared" si="83"/>
        <v>0.35</v>
      </c>
      <c r="G30" s="293">
        <f t="shared" si="83"/>
        <v>1.72</v>
      </c>
      <c r="H30" s="69">
        <f t="shared" si="83"/>
        <v>0.27</v>
      </c>
      <c r="I30" s="68">
        <f t="shared" si="83"/>
        <v>0.23</v>
      </c>
      <c r="J30" s="68">
        <f t="shared" si="83"/>
        <v>0.51</v>
      </c>
      <c r="K30" s="68">
        <f t="shared" si="83"/>
        <v>0.5</v>
      </c>
      <c r="L30" s="293">
        <f t="shared" si="83"/>
        <v>1.51</v>
      </c>
      <c r="M30" s="70">
        <f t="shared" si="83"/>
        <v>0.28000000000000003</v>
      </c>
      <c r="N30" s="68">
        <f>ROUND(N27/524.348714,2)</f>
        <v>0.25</v>
      </c>
      <c r="O30" s="68">
        <f>ROUND(O27/639.546016,2)</f>
        <v>0.08</v>
      </c>
      <c r="P30" s="68">
        <f>ROUND(P27/639.546016,2)</f>
        <v>0.02</v>
      </c>
      <c r="Q30" s="293">
        <f>ROUND(Q27/539.024535,2)</f>
        <v>0.54</v>
      </c>
      <c r="R30" s="68">
        <f t="shared" ref="R30:AA30" si="84">ROUND(R27/639.546016,2)</f>
        <v>0.27</v>
      </c>
      <c r="S30" s="68">
        <f t="shared" si="84"/>
        <v>0.48</v>
      </c>
      <c r="T30" s="68">
        <f t="shared" si="84"/>
        <v>0.79</v>
      </c>
      <c r="U30" s="71">
        <f t="shared" si="84"/>
        <v>0.28999999999999998</v>
      </c>
      <c r="V30" s="293">
        <f t="shared" si="84"/>
        <v>1.82</v>
      </c>
      <c r="W30" s="72">
        <f t="shared" si="84"/>
        <v>0.28000000000000003</v>
      </c>
      <c r="X30" s="72">
        <f>ROUNDUP(X27/639.546016,2)</f>
        <v>0.37</v>
      </c>
      <c r="Y30" s="44">
        <f t="shared" si="84"/>
        <v>0.42</v>
      </c>
      <c r="Z30" s="44">
        <f>ROUNDUP(Z27/639.546016,2)</f>
        <v>0.54</v>
      </c>
      <c r="AA30" s="293">
        <f t="shared" si="84"/>
        <v>1.6</v>
      </c>
      <c r="AB30" s="72">
        <f t="shared" ref="AB30:AK30" si="85">ROUND(AB27/639.546016,2)</f>
        <v>0.42</v>
      </c>
      <c r="AC30" s="72">
        <f t="shared" si="85"/>
        <v>0.44</v>
      </c>
      <c r="AD30" s="72">
        <f t="shared" si="85"/>
        <v>0.37</v>
      </c>
      <c r="AE30" s="72">
        <f t="shared" si="85"/>
        <v>0.25</v>
      </c>
      <c r="AF30" s="293">
        <f t="shared" si="85"/>
        <v>1.48</v>
      </c>
      <c r="AG30" s="72">
        <f t="shared" si="85"/>
        <v>0.49</v>
      </c>
      <c r="AH30" s="72">
        <f t="shared" si="85"/>
        <v>0.4</v>
      </c>
      <c r="AI30" s="72">
        <f t="shared" si="85"/>
        <v>0.35</v>
      </c>
      <c r="AJ30" s="121">
        <f t="shared" si="85"/>
        <v>0.09</v>
      </c>
      <c r="AK30" s="293">
        <f t="shared" si="85"/>
        <v>1.33</v>
      </c>
      <c r="AL30" s="703"/>
      <c r="AM30" s="93">
        <f t="shared" ref="AM30:AQ30" si="86">ROUND(AM27/639.546016,2)</f>
        <v>0.46</v>
      </c>
      <c r="AN30" s="72">
        <f t="shared" si="86"/>
        <v>0.36</v>
      </c>
      <c r="AO30" s="72">
        <v>0.35</v>
      </c>
      <c r="AP30" s="121">
        <v>0.11</v>
      </c>
      <c r="AQ30" s="293">
        <f t="shared" si="86"/>
        <v>1.28</v>
      </c>
      <c r="AR30" s="93"/>
      <c r="AS30" s="72"/>
      <c r="AT30" s="72"/>
      <c r="AU30" s="121"/>
      <c r="AV30" s="293"/>
      <c r="AW30" s="93">
        <f>ROUND(AW27/639.546016,2)</f>
        <v>0.46</v>
      </c>
      <c r="AX30" s="72">
        <v>0.43</v>
      </c>
      <c r="AY30" s="72">
        <v>0.37</v>
      </c>
      <c r="AZ30" s="121">
        <v>0.48</v>
      </c>
      <c r="BA30" s="293">
        <f t="shared" ref="BA30" si="87">ROUND(BA27/639.546016,2)</f>
        <v>1.74</v>
      </c>
      <c r="BB30" s="93">
        <f>ROUND(BB27/639.546016,2)</f>
        <v>0.28999999999999998</v>
      </c>
      <c r="BC30" s="121">
        <f t="shared" ref="BC30:BE30" si="88">ROUND(BC27/639.546016,2)</f>
        <v>0.45</v>
      </c>
      <c r="BD30" s="121">
        <f t="shared" si="88"/>
        <v>0.54</v>
      </c>
      <c r="BE30" s="121">
        <f t="shared" si="88"/>
        <v>0.51</v>
      </c>
      <c r="BF30" s="524">
        <f t="shared" ref="BF30" si="89">ROUND(BF27/639.546016,2)</f>
        <v>1.79</v>
      </c>
      <c r="BG30" s="93">
        <f>ROUND(BG27/639.546016,2)</f>
        <v>0.61</v>
      </c>
      <c r="BH30" s="121">
        <f t="shared" ref="BH30" si="90">ROUND(BH27/639.546016,2)</f>
        <v>0.85</v>
      </c>
      <c r="BI30" s="121"/>
      <c r="BJ30" s="121"/>
      <c r="BK30" s="527">
        <f t="shared" ref="BK30" si="91">ROUND(BK27/639.546016,2)</f>
        <v>1.46</v>
      </c>
    </row>
    <row r="31" spans="1:63" s="563" customFormat="1" ht="22.5" customHeight="1">
      <c r="A31" s="556" t="s">
        <v>66</v>
      </c>
      <c r="B31" s="557" t="s">
        <v>66</v>
      </c>
      <c r="C31" s="558">
        <f t="shared" ref="C31:AF31" si="92">C20-C12</f>
        <v>257.40000000000003</v>
      </c>
      <c r="D31" s="558">
        <f t="shared" si="92"/>
        <v>269.7</v>
      </c>
      <c r="E31" s="558">
        <f t="shared" si="92"/>
        <v>257.8</v>
      </c>
      <c r="F31" s="558">
        <f t="shared" si="92"/>
        <v>247.20000000000016</v>
      </c>
      <c r="G31" s="559">
        <f t="shared" si="92"/>
        <v>1032.0999999999992</v>
      </c>
      <c r="H31" s="560">
        <f t="shared" si="92"/>
        <v>245.37999999999994</v>
      </c>
      <c r="I31" s="558">
        <f t="shared" si="92"/>
        <v>257.3</v>
      </c>
      <c r="J31" s="558">
        <f t="shared" si="92"/>
        <v>268.2</v>
      </c>
      <c r="K31" s="558">
        <f t="shared" si="92"/>
        <v>275.39999999999998</v>
      </c>
      <c r="L31" s="559">
        <f t="shared" si="92"/>
        <v>1046.2800000000002</v>
      </c>
      <c r="M31" s="560">
        <f t="shared" si="92"/>
        <v>281.99999999999977</v>
      </c>
      <c r="N31" s="558">
        <f t="shared" si="92"/>
        <v>708.89999999999986</v>
      </c>
      <c r="O31" s="558">
        <f t="shared" si="92"/>
        <v>910.09999999999968</v>
      </c>
      <c r="P31" s="558">
        <f t="shared" si="92"/>
        <v>837.30000000000075</v>
      </c>
      <c r="Q31" s="559">
        <f t="shared" si="92"/>
        <v>2738.2999999999993</v>
      </c>
      <c r="R31" s="558">
        <f t="shared" si="92"/>
        <v>896.59999999999991</v>
      </c>
      <c r="S31" s="558">
        <f t="shared" si="92"/>
        <v>977</v>
      </c>
      <c r="T31" s="558">
        <f t="shared" si="92"/>
        <v>930.39999999999964</v>
      </c>
      <c r="U31" s="558">
        <f t="shared" si="92"/>
        <v>881.10000000000036</v>
      </c>
      <c r="V31" s="559">
        <f t="shared" si="92"/>
        <v>3685.0999999999995</v>
      </c>
      <c r="W31" s="558">
        <f t="shared" si="92"/>
        <v>846.5</v>
      </c>
      <c r="X31" s="558">
        <f t="shared" si="92"/>
        <v>935.00000000000011</v>
      </c>
      <c r="Y31" s="561">
        <f t="shared" si="92"/>
        <v>957.00000000000034</v>
      </c>
      <c r="Z31" s="561">
        <f t="shared" si="92"/>
        <v>902.3</v>
      </c>
      <c r="AA31" s="559">
        <f t="shared" si="92"/>
        <v>3640.8</v>
      </c>
      <c r="AB31" s="558">
        <f t="shared" si="92"/>
        <v>929.50000000000034</v>
      </c>
      <c r="AC31" s="558">
        <f t="shared" si="92"/>
        <v>963.69999999999982</v>
      </c>
      <c r="AD31" s="558">
        <f t="shared" si="92"/>
        <v>851.1</v>
      </c>
      <c r="AE31" s="558">
        <f t="shared" si="92"/>
        <v>872.7</v>
      </c>
      <c r="AF31" s="559">
        <f t="shared" si="92"/>
        <v>3617.0000000000009</v>
      </c>
      <c r="AG31" s="558">
        <f t="shared" ref="AG31" si="93">AG20-AG12</f>
        <v>918.79999999999973</v>
      </c>
      <c r="AH31" s="558">
        <f>AH20-AH12</f>
        <v>927.59999999999991</v>
      </c>
      <c r="AI31" s="558">
        <f>AI20-AI12</f>
        <v>848.50000000000011</v>
      </c>
      <c r="AJ31" s="562">
        <f t="shared" ref="AJ31:AK31" si="94">AJ20-AJ12</f>
        <v>846.6</v>
      </c>
      <c r="AK31" s="559">
        <f t="shared" si="94"/>
        <v>3541.4999999999995</v>
      </c>
      <c r="AL31" s="564"/>
      <c r="AM31" s="560">
        <f t="shared" ref="AM31:AR31" si="95">AM20-AM12</f>
        <v>890</v>
      </c>
      <c r="AN31" s="558">
        <f t="shared" si="95"/>
        <v>946.39999999999986</v>
      </c>
      <c r="AO31" s="558">
        <f t="shared" si="95"/>
        <v>919.99999999999977</v>
      </c>
      <c r="AP31" s="562">
        <f t="shared" si="95"/>
        <v>941.3</v>
      </c>
      <c r="AQ31" s="559">
        <f t="shared" si="95"/>
        <v>3697.700000000003</v>
      </c>
      <c r="AR31" s="560">
        <f t="shared" si="95"/>
        <v>922.00000000000023</v>
      </c>
      <c r="AS31" s="558">
        <f t="shared" ref="AS31:AT31" si="96">AS20-AS12</f>
        <v>959.9</v>
      </c>
      <c r="AT31" s="558">
        <f t="shared" si="96"/>
        <v>901.1999999999997</v>
      </c>
      <c r="AU31" s="558">
        <f t="shared" ref="AU31" si="97">AU20-AU12</f>
        <v>938.20000000000095</v>
      </c>
      <c r="AV31" s="559">
        <f>AV20-AV12</f>
        <v>3721.3000000000029</v>
      </c>
      <c r="AW31" s="560">
        <f>AW20-AW12</f>
        <v>1038.2999999999995</v>
      </c>
      <c r="AX31" s="558">
        <f t="shared" ref="AX31:AY31" si="98">AX20-AX12</f>
        <v>1076.0999999999999</v>
      </c>
      <c r="AY31" s="558">
        <f t="shared" si="98"/>
        <v>1020.4999999999999</v>
      </c>
      <c r="AZ31" s="558">
        <f t="shared" ref="AZ31" si="99">AZ20-AZ12</f>
        <v>1061.8000000000002</v>
      </c>
      <c r="BA31" s="559">
        <f>BA20-BA12</f>
        <v>4196.7000000000007</v>
      </c>
      <c r="BB31" s="560">
        <f>BB20-BB12</f>
        <v>1026.6888265199998</v>
      </c>
      <c r="BC31" s="558">
        <f t="shared" ref="BC31:BE31" si="100">BC20-BC12</f>
        <v>960.0000000000008</v>
      </c>
      <c r="BD31" s="558">
        <f t="shared" si="100"/>
        <v>1078.8999999999999</v>
      </c>
      <c r="BE31" s="558">
        <f t="shared" si="100"/>
        <v>1126.3000000000002</v>
      </c>
      <c r="BF31" s="559">
        <f>BF20-BF12</f>
        <v>4191.8888265199985</v>
      </c>
      <c r="BG31" s="560">
        <f>BG20-BG12</f>
        <v>1082.7</v>
      </c>
      <c r="BH31" s="558">
        <f t="shared" ref="BH31:BJ31" si="101">BH20-BH12</f>
        <v>1140.8999999999999</v>
      </c>
      <c r="BI31" s="694">
        <f t="shared" si="101"/>
        <v>0</v>
      </c>
      <c r="BJ31" s="694">
        <f t="shared" si="101"/>
        <v>0</v>
      </c>
      <c r="BK31" s="559">
        <f>BK20-BK12</f>
        <v>2223.5999999999985</v>
      </c>
    </row>
    <row r="32" spans="1:63" s="599" customFormat="1" ht="22.5" customHeight="1">
      <c r="A32" s="605" t="s">
        <v>67</v>
      </c>
      <c r="B32" s="606" t="s">
        <v>68</v>
      </c>
      <c r="C32" s="607">
        <f t="shared" ref="C32:AF32" si="102">C31/C5</f>
        <v>0.38463837417812313</v>
      </c>
      <c r="D32" s="607">
        <f t="shared" si="102"/>
        <v>0.377836929111796</v>
      </c>
      <c r="E32" s="607">
        <f t="shared" si="102"/>
        <v>0.4</v>
      </c>
      <c r="F32" s="607">
        <f t="shared" si="102"/>
        <v>0.32933653077537983</v>
      </c>
      <c r="G32" s="608">
        <f t="shared" si="102"/>
        <v>0.37151290450307745</v>
      </c>
      <c r="H32" s="609">
        <f t="shared" si="102"/>
        <v>0.35200114761153339</v>
      </c>
      <c r="I32" s="607">
        <f t="shared" si="102"/>
        <v>0.34963989672509854</v>
      </c>
      <c r="J32" s="607">
        <f t="shared" si="102"/>
        <v>0.39598405433338257</v>
      </c>
      <c r="K32" s="607">
        <f t="shared" si="102"/>
        <v>0.34403497813866329</v>
      </c>
      <c r="L32" s="608">
        <f t="shared" si="102"/>
        <v>0.35944757454995196</v>
      </c>
      <c r="M32" s="609">
        <f t="shared" si="102"/>
        <v>0.38987971795935272</v>
      </c>
      <c r="N32" s="607">
        <f t="shared" si="102"/>
        <v>0.40603700097370976</v>
      </c>
      <c r="O32" s="607">
        <f t="shared" si="102"/>
        <v>0.37613655149611497</v>
      </c>
      <c r="P32" s="607">
        <f t="shared" si="102"/>
        <v>0.33211693308476481</v>
      </c>
      <c r="Q32" s="608">
        <f t="shared" si="102"/>
        <v>0.36954614772129168</v>
      </c>
      <c r="R32" s="607">
        <f t="shared" si="102"/>
        <v>0.38497209102619145</v>
      </c>
      <c r="S32" s="607">
        <f t="shared" si="102"/>
        <v>0.39567471245747615</v>
      </c>
      <c r="T32" s="607">
        <f t="shared" si="102"/>
        <v>0.3852747525777464</v>
      </c>
      <c r="U32" s="607">
        <f t="shared" si="102"/>
        <v>0.33759914172956829</v>
      </c>
      <c r="V32" s="608">
        <f t="shared" si="102"/>
        <v>0.37515015779293487</v>
      </c>
      <c r="W32" s="607">
        <f t="shared" si="102"/>
        <v>0.35807952622673433</v>
      </c>
      <c r="X32" s="607">
        <f t="shared" si="102"/>
        <v>0.3827418232428671</v>
      </c>
      <c r="Y32" s="610">
        <f t="shared" si="102"/>
        <v>0.4007873356227491</v>
      </c>
      <c r="Z32" s="610">
        <f t="shared" si="102"/>
        <v>0.35592284328034396</v>
      </c>
      <c r="AA32" s="608">
        <f t="shared" si="102"/>
        <v>0.37419063084544396</v>
      </c>
      <c r="AB32" s="607">
        <f t="shared" si="102"/>
        <v>0.38914008205643491</v>
      </c>
      <c r="AC32" s="607">
        <f t="shared" si="102"/>
        <v>0.39017773998947319</v>
      </c>
      <c r="AD32" s="607">
        <f t="shared" si="102"/>
        <v>0.35597473754653058</v>
      </c>
      <c r="AE32" s="607">
        <f t="shared" si="102"/>
        <v>0.33836073200992561</v>
      </c>
      <c r="AF32" s="608">
        <f t="shared" si="102"/>
        <v>0.36800765114054906</v>
      </c>
      <c r="AG32" s="607">
        <f t="shared" ref="AG32:AK32" si="103">AG31/AG5</f>
        <v>0.3892065912653026</v>
      </c>
      <c r="AH32" s="607">
        <f t="shared" si="103"/>
        <v>0.37450038354394599</v>
      </c>
      <c r="AI32" s="607">
        <f t="shared" ref="AI32" si="104">AI31/AI5</f>
        <v>0.34840272645150699</v>
      </c>
      <c r="AJ32" s="607">
        <f t="shared" si="103"/>
        <v>0.3156599552572707</v>
      </c>
      <c r="AK32" s="608">
        <f t="shared" si="103"/>
        <v>0.35575087895529878</v>
      </c>
      <c r="AL32" s="659"/>
      <c r="AM32" s="609">
        <f t="shared" ref="AM32:AR32" si="105">AM31/AM5</f>
        <v>0.37938531054179631</v>
      </c>
      <c r="AN32" s="607">
        <f t="shared" si="105"/>
        <v>0.36355255070682235</v>
      </c>
      <c r="AO32" s="607">
        <f t="shared" si="105"/>
        <v>0.33638025594149901</v>
      </c>
      <c r="AP32" s="607">
        <f t="shared" si="105"/>
        <v>0.31355762824783479</v>
      </c>
      <c r="AQ32" s="608">
        <f t="shared" si="105"/>
        <v>0.3460289535003418</v>
      </c>
      <c r="AR32" s="609">
        <f t="shared" si="105"/>
        <v>0.33136860264519846</v>
      </c>
      <c r="AS32" s="607">
        <f>AS31/AS5</f>
        <v>0.32952282869893579</v>
      </c>
      <c r="AT32" s="607">
        <f>AT31/AT5</f>
        <v>0.31266696735246147</v>
      </c>
      <c r="AU32" s="607">
        <f>AU31/AU5</f>
        <v>0.30670153644982046</v>
      </c>
      <c r="AV32" s="608">
        <f>AV31/AV5</f>
        <v>0.31978997482104055</v>
      </c>
      <c r="AW32" s="609">
        <f>AW31/AW5</f>
        <v>0.37193724029230529</v>
      </c>
      <c r="AX32" s="607">
        <f t="shared" ref="AX32:AY32" si="106">AX31/AX5</f>
        <v>0.36814916182004787</v>
      </c>
      <c r="AY32" s="607">
        <f t="shared" si="106"/>
        <v>0.35282118655787575</v>
      </c>
      <c r="AZ32" s="607">
        <f t="shared" ref="AZ32" si="107">AZ31/AZ5</f>
        <v>0.34596461503372328</v>
      </c>
      <c r="BA32" s="608">
        <f>BA31/BA5</f>
        <v>0.35942652084171944</v>
      </c>
      <c r="BB32" s="609">
        <f>BB31/BB5</f>
        <v>0.36043139424960502</v>
      </c>
      <c r="BC32" s="607">
        <f t="shared" ref="BC32:BE32" si="108">BC31/BC5</f>
        <v>0.33534774862891703</v>
      </c>
      <c r="BD32" s="607">
        <f t="shared" si="108"/>
        <v>0.35921425004161806</v>
      </c>
      <c r="BE32" s="607">
        <f t="shared" si="108"/>
        <v>0.34674589003140205</v>
      </c>
      <c r="BF32" s="608">
        <f>BF31/BF5</f>
        <v>0.35040741179145513</v>
      </c>
      <c r="BG32" s="609">
        <f>BG31/BG5</f>
        <v>0.36242217312713398</v>
      </c>
      <c r="BH32" s="607">
        <f t="shared" ref="BH32:BJ32" si="109">BH31/BH5</f>
        <v>0.3610785834098173</v>
      </c>
      <c r="BI32" s="607" t="e">
        <f t="shared" si="109"/>
        <v>#DIV/0!</v>
      </c>
      <c r="BJ32" s="607" t="e">
        <f t="shared" si="109"/>
        <v>#DIV/0!</v>
      </c>
      <c r="BK32" s="608">
        <f>BK31/BK5</f>
        <v>0.3617315482097247</v>
      </c>
    </row>
    <row r="33" spans="1:16381" s="65" customFormat="1" ht="20.100000000000001" customHeight="1">
      <c r="A33" s="56" t="s">
        <v>69</v>
      </c>
      <c r="B33" s="163" t="s">
        <v>70</v>
      </c>
      <c r="C33" s="160"/>
      <c r="D33" s="160"/>
      <c r="E33" s="160"/>
      <c r="F33" s="160"/>
      <c r="G33" s="293"/>
      <c r="H33" s="161"/>
      <c r="I33" s="160"/>
      <c r="J33" s="160"/>
      <c r="K33" s="160"/>
      <c r="L33" s="293"/>
      <c r="M33" s="161"/>
      <c r="N33" s="160"/>
      <c r="O33" s="160"/>
      <c r="P33" s="160"/>
      <c r="Q33" s="293"/>
      <c r="R33" s="160"/>
      <c r="S33" s="160"/>
      <c r="T33" s="160"/>
      <c r="U33" s="160"/>
      <c r="V33" s="293"/>
      <c r="W33" s="160"/>
      <c r="X33" s="160"/>
      <c r="Y33" s="162"/>
      <c r="Z33" s="162"/>
      <c r="AA33" s="293"/>
      <c r="AB33" s="160"/>
      <c r="AC33" s="160"/>
      <c r="AD33" s="160"/>
      <c r="AE33" s="160"/>
      <c r="AF33" s="293"/>
      <c r="AG33" s="160"/>
      <c r="AH33" s="160"/>
      <c r="AI33" s="160"/>
      <c r="AJ33" s="162"/>
      <c r="AK33" s="293"/>
      <c r="AL33" s="661"/>
      <c r="AM33" s="161"/>
      <c r="AN33" s="160"/>
      <c r="AO33" s="160"/>
      <c r="AP33" s="162"/>
      <c r="AQ33" s="293"/>
      <c r="AR33" s="161"/>
      <c r="AS33" s="160"/>
      <c r="AT33" s="160"/>
      <c r="AU33" s="160"/>
      <c r="AV33" s="293"/>
      <c r="AW33" s="161"/>
      <c r="AX33" s="160"/>
      <c r="AY33" s="160"/>
      <c r="AZ33" s="160"/>
      <c r="BA33" s="293"/>
      <c r="BB33" s="161"/>
      <c r="BC33" s="64">
        <v>-41.5</v>
      </c>
      <c r="BD33" s="64">
        <v>-3.3</v>
      </c>
      <c r="BE33" s="64">
        <v>-1.1000000000000001</v>
      </c>
      <c r="BF33" s="524">
        <f>SUM(BB33:BE33)</f>
        <v>-45.9</v>
      </c>
      <c r="BG33" s="161"/>
      <c r="BH33" s="64"/>
      <c r="BI33" s="64"/>
      <c r="BJ33" s="64"/>
      <c r="BK33" s="293">
        <f>SUM(BG33:BJ33)</f>
        <v>0</v>
      </c>
    </row>
    <row r="34" spans="1:16381" s="563" customFormat="1" ht="22.5" customHeight="1">
      <c r="A34" s="556" t="s">
        <v>71</v>
      </c>
      <c r="B34" s="557" t="s">
        <v>72</v>
      </c>
      <c r="C34" s="558"/>
      <c r="D34" s="558"/>
      <c r="E34" s="558"/>
      <c r="F34" s="558"/>
      <c r="G34" s="559"/>
      <c r="H34" s="560"/>
      <c r="I34" s="558"/>
      <c r="J34" s="558"/>
      <c r="K34" s="558"/>
      <c r="L34" s="559"/>
      <c r="M34" s="560"/>
      <c r="N34" s="558"/>
      <c r="O34" s="558"/>
      <c r="P34" s="558"/>
      <c r="Q34" s="559"/>
      <c r="R34" s="558"/>
      <c r="S34" s="558"/>
      <c r="T34" s="558"/>
      <c r="U34" s="558"/>
      <c r="V34" s="559"/>
      <c r="W34" s="558"/>
      <c r="X34" s="558"/>
      <c r="Y34" s="561"/>
      <c r="Z34" s="561"/>
      <c r="AA34" s="559"/>
      <c r="AB34" s="558"/>
      <c r="AC34" s="558"/>
      <c r="AD34" s="558"/>
      <c r="AE34" s="558"/>
      <c r="AF34" s="559"/>
      <c r="AG34" s="558"/>
      <c r="AH34" s="558"/>
      <c r="AI34" s="558"/>
      <c r="AJ34" s="562"/>
      <c r="AK34" s="559"/>
      <c r="AL34" s="564"/>
      <c r="AM34" s="560"/>
      <c r="AN34" s="558"/>
      <c r="AO34" s="558"/>
      <c r="AP34" s="562"/>
      <c r="AQ34" s="559"/>
      <c r="AR34" s="560"/>
      <c r="AS34" s="558"/>
      <c r="AT34" s="558"/>
      <c r="AU34" s="558"/>
      <c r="AV34" s="559"/>
      <c r="AW34" s="560"/>
      <c r="AX34" s="558"/>
      <c r="AY34" s="558"/>
      <c r="AZ34" s="558"/>
      <c r="BA34" s="559"/>
      <c r="BB34" s="560"/>
      <c r="BC34" s="558">
        <f t="shared" ref="BC34:BK34" si="110">BC31-BC33</f>
        <v>1001.5000000000008</v>
      </c>
      <c r="BD34" s="558">
        <f t="shared" si="110"/>
        <v>1082.1999999999998</v>
      </c>
      <c r="BE34" s="558">
        <f t="shared" si="110"/>
        <v>1127.4000000000001</v>
      </c>
      <c r="BF34" s="559">
        <f t="shared" si="110"/>
        <v>4237.7888265199981</v>
      </c>
      <c r="BG34" s="560">
        <f t="shared" si="110"/>
        <v>1082.7</v>
      </c>
      <c r="BH34" s="558">
        <f>BH31-BH33</f>
        <v>1140.8999999999999</v>
      </c>
      <c r="BI34" s="694">
        <f t="shared" si="110"/>
        <v>0</v>
      </c>
      <c r="BJ34" s="694">
        <f t="shared" si="110"/>
        <v>0</v>
      </c>
      <c r="BK34" s="559">
        <f t="shared" si="110"/>
        <v>2223.5999999999985</v>
      </c>
    </row>
    <row r="35" spans="1:16381" s="599" customFormat="1" ht="22.5" customHeight="1">
      <c r="A35" s="592" t="s">
        <v>73</v>
      </c>
      <c r="B35" s="593" t="s">
        <v>74</v>
      </c>
      <c r="C35" s="594"/>
      <c r="D35" s="594"/>
      <c r="E35" s="594"/>
      <c r="F35" s="594"/>
      <c r="G35" s="595"/>
      <c r="H35" s="596"/>
      <c r="I35" s="594"/>
      <c r="J35" s="594"/>
      <c r="K35" s="594"/>
      <c r="L35" s="595"/>
      <c r="M35" s="596"/>
      <c r="N35" s="594"/>
      <c r="O35" s="594"/>
      <c r="P35" s="594"/>
      <c r="Q35" s="595"/>
      <c r="R35" s="594"/>
      <c r="S35" s="594"/>
      <c r="T35" s="594"/>
      <c r="U35" s="594"/>
      <c r="V35" s="595"/>
      <c r="W35" s="594"/>
      <c r="X35" s="594"/>
      <c r="Y35" s="597"/>
      <c r="Z35" s="597"/>
      <c r="AA35" s="595"/>
      <c r="AB35" s="594"/>
      <c r="AC35" s="594"/>
      <c r="AD35" s="594"/>
      <c r="AE35" s="594"/>
      <c r="AF35" s="595"/>
      <c r="AG35" s="594"/>
      <c r="AH35" s="594"/>
      <c r="AI35" s="594"/>
      <c r="AJ35" s="598"/>
      <c r="AK35" s="595"/>
      <c r="AL35" s="564"/>
      <c r="AM35" s="596"/>
      <c r="AN35" s="594"/>
      <c r="AO35" s="594"/>
      <c r="AP35" s="598"/>
      <c r="AQ35" s="595"/>
      <c r="AR35" s="596"/>
      <c r="AS35" s="594"/>
      <c r="AT35" s="594"/>
      <c r="AU35" s="594"/>
      <c r="AV35" s="595"/>
      <c r="AW35" s="596"/>
      <c r="AX35" s="594"/>
      <c r="AY35" s="594"/>
      <c r="AZ35" s="594"/>
      <c r="BA35" s="595"/>
      <c r="BB35" s="596"/>
      <c r="BC35" s="594">
        <f t="shared" ref="BC35:BK35" si="111">BC34/BC5</f>
        <v>0.3498445523456879</v>
      </c>
      <c r="BD35" s="594">
        <f t="shared" si="111"/>
        <v>0.36031296820376224</v>
      </c>
      <c r="BE35" s="594">
        <f t="shared" si="111"/>
        <v>0.34708453912936393</v>
      </c>
      <c r="BF35" s="595">
        <f t="shared" si="111"/>
        <v>0.35424427409073034</v>
      </c>
      <c r="BG35" s="596">
        <f t="shared" si="111"/>
        <v>0.36242217312713398</v>
      </c>
      <c r="BH35" s="594">
        <f t="shared" si="111"/>
        <v>0.3610785834098173</v>
      </c>
      <c r="BI35" s="594" t="e">
        <f t="shared" si="111"/>
        <v>#DIV/0!</v>
      </c>
      <c r="BJ35" s="594" t="e">
        <f t="shared" si="111"/>
        <v>#DIV/0!</v>
      </c>
      <c r="BK35" s="595">
        <f t="shared" si="111"/>
        <v>0.3617315482097247</v>
      </c>
    </row>
    <row r="36" spans="1:16381" ht="15" customHeight="1">
      <c r="A36" s="73"/>
      <c r="B36" s="73"/>
      <c r="C36" s="74"/>
      <c r="D36" s="74"/>
      <c r="E36" s="74"/>
      <c r="F36" s="74"/>
      <c r="G36" s="74"/>
      <c r="H36" s="74"/>
      <c r="I36" s="75"/>
      <c r="J36" s="76"/>
      <c r="K36" s="76"/>
      <c r="U36" s="8"/>
      <c r="V36" s="8"/>
      <c r="W36" s="8"/>
      <c r="X36" s="8"/>
      <c r="Y36" s="45"/>
      <c r="Z36" s="8"/>
      <c r="AA36" s="8"/>
      <c r="AB36" s="8"/>
      <c r="AC36" s="8"/>
      <c r="AD36" s="45"/>
      <c r="AE36" s="8"/>
      <c r="AF36" s="8"/>
      <c r="AG36" s="8"/>
      <c r="AH36" s="8"/>
      <c r="AI36" s="45"/>
      <c r="AJ36" s="8"/>
      <c r="AK36" s="123"/>
      <c r="AL36" s="20"/>
      <c r="AM36" s="8"/>
      <c r="AN36" s="97"/>
      <c r="AO36" s="45"/>
      <c r="AP36" s="8"/>
      <c r="AQ36" s="97"/>
      <c r="AR36" s="8"/>
      <c r="AS36" s="97"/>
      <c r="AT36" s="45"/>
      <c r="AU36" s="8"/>
      <c r="AV36" s="97"/>
      <c r="AW36" s="8"/>
      <c r="AX36" s="97"/>
      <c r="AY36" s="45"/>
      <c r="AZ36" s="8"/>
      <c r="BA36" s="97"/>
      <c r="BB36" s="8"/>
      <c r="BC36" s="97"/>
      <c r="BD36" s="45"/>
      <c r="BE36" s="8"/>
      <c r="BF36" s="525"/>
      <c r="BG36" s="8"/>
      <c r="BH36" s="97"/>
      <c r="BI36" s="45"/>
      <c r="BJ36" s="8"/>
      <c r="BK36" s="97"/>
    </row>
    <row r="37" spans="1:16381" ht="33" customHeight="1">
      <c r="A37" s="144" t="s">
        <v>75</v>
      </c>
      <c r="B37" s="150" t="s">
        <v>76</v>
      </c>
      <c r="C37" s="149"/>
      <c r="D37" s="149"/>
      <c r="E37" s="149"/>
      <c r="F37" s="149"/>
      <c r="G37" s="149"/>
      <c r="H37" s="149"/>
      <c r="I37" s="149"/>
      <c r="J37" s="149"/>
      <c r="K37" s="149"/>
      <c r="L37" s="149"/>
      <c r="M37" s="149"/>
      <c r="N37" s="149"/>
      <c r="O37" s="144"/>
      <c r="P37" s="144"/>
      <c r="Q37" s="144"/>
      <c r="R37" s="144"/>
      <c r="S37" s="704"/>
      <c r="T37" s="704"/>
      <c r="U37" s="704"/>
      <c r="V37" s="704"/>
      <c r="W37" s="704"/>
      <c r="X37" s="704"/>
      <c r="Y37" s="704"/>
      <c r="Z37" s="704"/>
      <c r="AA37" s="704"/>
      <c r="AB37" s="704"/>
      <c r="AC37" s="704"/>
      <c r="AD37" s="704"/>
      <c r="AE37" s="704"/>
      <c r="AF37" s="704"/>
      <c r="AG37" s="704"/>
      <c r="AH37" s="10"/>
      <c r="AI37" s="41"/>
      <c r="AJ37" s="10"/>
      <c r="AK37" s="124"/>
      <c r="AL37" s="20"/>
      <c r="AM37" s="10"/>
      <c r="AN37" s="10"/>
      <c r="AO37" s="41"/>
      <c r="AP37" s="10"/>
      <c r="AQ37" s="10"/>
      <c r="AR37" s="10"/>
      <c r="AS37" s="10"/>
      <c r="AT37" s="41"/>
      <c r="AU37" s="10"/>
      <c r="AV37" s="10"/>
      <c r="AW37" s="10"/>
      <c r="AX37" s="704"/>
      <c r="AY37" s="704"/>
      <c r="AZ37" s="704"/>
      <c r="BA37" s="704"/>
      <c r="BB37" s="704"/>
      <c r="BC37" s="704"/>
      <c r="BD37" s="704"/>
      <c r="BE37" s="704"/>
      <c r="BF37" s="704"/>
      <c r="BG37" s="704"/>
      <c r="BH37" s="704"/>
      <c r="BI37" s="704"/>
      <c r="BJ37" s="704"/>
      <c r="BK37" s="704"/>
      <c r="BL37" s="704"/>
      <c r="BM37" s="704"/>
      <c r="BN37" s="704"/>
      <c r="BO37" s="704"/>
      <c r="BP37" s="704"/>
      <c r="BQ37" s="704"/>
      <c r="BR37" s="704"/>
      <c r="BS37" s="704"/>
      <c r="BT37" s="704"/>
      <c r="BU37" s="704"/>
      <c r="BV37" s="704"/>
      <c r="BW37" s="704"/>
      <c r="BX37" s="704"/>
      <c r="BY37" s="704"/>
      <c r="BZ37" s="704"/>
      <c r="CA37" s="704"/>
      <c r="CB37" s="704"/>
      <c r="CC37" s="704"/>
      <c r="CD37" s="704"/>
      <c r="CE37" s="704"/>
      <c r="CF37" s="704"/>
      <c r="CG37" s="704"/>
      <c r="CH37" s="704"/>
      <c r="CI37" s="704"/>
      <c r="CJ37" s="704"/>
      <c r="CK37" s="704"/>
      <c r="CL37" s="704"/>
      <c r="CM37" s="704"/>
      <c r="CN37" s="704"/>
      <c r="CO37" s="704"/>
      <c r="CP37" s="704"/>
      <c r="CQ37" s="704"/>
      <c r="CR37" s="704"/>
      <c r="CS37" s="704"/>
      <c r="CT37" s="704"/>
      <c r="CU37" s="704"/>
      <c r="CV37" s="704"/>
      <c r="CW37" s="704"/>
      <c r="CX37" s="704"/>
      <c r="CY37" s="704"/>
      <c r="CZ37" s="704"/>
      <c r="DA37" s="704"/>
      <c r="DB37" s="704"/>
      <c r="DC37" s="704"/>
      <c r="DD37" s="704"/>
      <c r="DE37" s="704"/>
      <c r="DF37" s="704"/>
      <c r="DG37" s="704"/>
      <c r="DH37" s="704"/>
      <c r="DI37" s="704"/>
      <c r="DJ37" s="704"/>
      <c r="DK37" s="704"/>
      <c r="DL37" s="704"/>
      <c r="DM37" s="704"/>
      <c r="DN37" s="704"/>
      <c r="DO37" s="704"/>
      <c r="DP37" s="704"/>
      <c r="DQ37" s="704"/>
      <c r="DR37" s="704"/>
      <c r="DS37" s="704"/>
      <c r="DT37" s="704"/>
      <c r="DU37" s="704"/>
      <c r="DV37" s="704"/>
      <c r="DW37" s="704"/>
      <c r="DX37" s="704"/>
      <c r="DY37" s="704"/>
      <c r="DZ37" s="704"/>
      <c r="EA37" s="704"/>
      <c r="EB37" s="704"/>
      <c r="EC37" s="704"/>
      <c r="ED37" s="704"/>
      <c r="EE37" s="704"/>
      <c r="EF37" s="704"/>
      <c r="EG37" s="704"/>
      <c r="EH37" s="704"/>
      <c r="EI37" s="704"/>
      <c r="EJ37" s="704"/>
      <c r="EK37" s="704"/>
      <c r="EL37" s="704"/>
      <c r="EM37" s="704"/>
      <c r="EN37" s="704"/>
      <c r="EO37" s="704"/>
      <c r="EP37" s="704"/>
      <c r="EQ37" s="704"/>
      <c r="ER37" s="704"/>
      <c r="ES37" s="704"/>
      <c r="ET37" s="704"/>
      <c r="EU37" s="704"/>
      <c r="EV37" s="704"/>
      <c r="EW37" s="704"/>
      <c r="EX37" s="704"/>
      <c r="EY37" s="704"/>
      <c r="EZ37" s="704"/>
      <c r="FA37" s="704"/>
      <c r="FB37" s="704"/>
      <c r="FC37" s="704"/>
      <c r="FD37" s="704"/>
      <c r="FE37" s="704"/>
      <c r="FF37" s="704"/>
      <c r="FG37" s="704"/>
      <c r="FH37" s="704"/>
      <c r="FI37" s="704"/>
      <c r="FJ37" s="704"/>
      <c r="FK37" s="704"/>
      <c r="FL37" s="704"/>
      <c r="FM37" s="704"/>
      <c r="FN37" s="704"/>
      <c r="FO37" s="704"/>
      <c r="FP37" s="704"/>
      <c r="FQ37" s="704"/>
      <c r="FR37" s="704"/>
      <c r="FS37" s="704"/>
      <c r="FT37" s="704"/>
      <c r="FU37" s="704"/>
      <c r="FV37" s="704"/>
      <c r="FW37" s="704"/>
      <c r="FX37" s="704"/>
      <c r="FY37" s="704"/>
      <c r="FZ37" s="704"/>
      <c r="GA37" s="704"/>
      <c r="GB37" s="704"/>
      <c r="GC37" s="704"/>
      <c r="GD37" s="704"/>
      <c r="GE37" s="704"/>
      <c r="GF37" s="704"/>
      <c r="GG37" s="704"/>
      <c r="GH37" s="704"/>
      <c r="GI37" s="704"/>
      <c r="GJ37" s="704"/>
      <c r="GK37" s="704"/>
      <c r="GL37" s="704"/>
      <c r="GM37" s="704"/>
      <c r="GN37" s="704"/>
      <c r="GO37" s="704"/>
      <c r="GP37" s="704"/>
      <c r="GQ37" s="704"/>
      <c r="GR37" s="704"/>
      <c r="GS37" s="704"/>
      <c r="GT37" s="704"/>
      <c r="GU37" s="704"/>
      <c r="GV37" s="704"/>
      <c r="GW37" s="704"/>
      <c r="GX37" s="704"/>
      <c r="GY37" s="704"/>
      <c r="GZ37" s="704"/>
      <c r="HA37" s="704"/>
      <c r="HB37" s="704"/>
      <c r="HC37" s="704"/>
      <c r="HD37" s="704"/>
      <c r="HE37" s="704"/>
      <c r="HF37" s="704"/>
      <c r="HG37" s="704"/>
      <c r="HH37" s="704"/>
      <c r="HI37" s="704"/>
      <c r="HJ37" s="704"/>
      <c r="HK37" s="704"/>
      <c r="HL37" s="704"/>
      <c r="HM37" s="704"/>
      <c r="HN37" s="704"/>
      <c r="HO37" s="704"/>
      <c r="HP37" s="704"/>
      <c r="HQ37" s="704"/>
      <c r="HR37" s="704"/>
      <c r="HS37" s="704"/>
      <c r="HT37" s="704"/>
      <c r="HU37" s="704"/>
      <c r="HV37" s="704"/>
      <c r="HW37" s="704"/>
      <c r="HX37" s="704"/>
      <c r="HY37" s="704"/>
      <c r="HZ37" s="704"/>
      <c r="IA37" s="704"/>
      <c r="IB37" s="704"/>
      <c r="IC37" s="704"/>
      <c r="ID37" s="704"/>
      <c r="IE37" s="704"/>
      <c r="IF37" s="704"/>
      <c r="IG37" s="704"/>
      <c r="IH37" s="704"/>
      <c r="II37" s="704"/>
      <c r="IJ37" s="704"/>
      <c r="IK37" s="704"/>
      <c r="IL37" s="704"/>
      <c r="IM37" s="704"/>
      <c r="IN37" s="704"/>
      <c r="IO37" s="704"/>
      <c r="IP37" s="704"/>
      <c r="IQ37" s="704"/>
      <c r="IR37" s="704"/>
      <c r="IS37" s="704"/>
      <c r="IT37" s="704"/>
      <c r="IU37" s="704"/>
      <c r="IV37" s="704"/>
      <c r="IW37" s="704"/>
      <c r="IX37" s="704"/>
      <c r="IY37" s="704"/>
      <c r="IZ37" s="704"/>
      <c r="JA37" s="704"/>
      <c r="JB37" s="704"/>
      <c r="JC37" s="704"/>
      <c r="JD37" s="704"/>
      <c r="JE37" s="704"/>
      <c r="JF37" s="704"/>
      <c r="JG37" s="704"/>
      <c r="JH37" s="704"/>
      <c r="JI37" s="704"/>
      <c r="JJ37" s="704"/>
      <c r="JK37" s="704"/>
      <c r="JL37" s="704"/>
      <c r="JM37" s="704"/>
      <c r="JN37" s="704"/>
      <c r="JO37" s="704"/>
      <c r="JP37" s="704"/>
      <c r="JQ37" s="704"/>
      <c r="JR37" s="704"/>
      <c r="JS37" s="704"/>
      <c r="JT37" s="704"/>
      <c r="JU37" s="704"/>
      <c r="JV37" s="704"/>
      <c r="JW37" s="704"/>
      <c r="JX37" s="704"/>
      <c r="JY37" s="704"/>
      <c r="JZ37" s="704"/>
      <c r="KA37" s="704"/>
      <c r="KB37" s="704"/>
      <c r="KC37" s="704"/>
      <c r="KD37" s="704"/>
      <c r="KE37" s="704"/>
      <c r="KF37" s="704"/>
      <c r="KG37" s="704"/>
      <c r="KH37" s="704"/>
      <c r="KI37" s="704"/>
      <c r="KJ37" s="704"/>
      <c r="KK37" s="704"/>
      <c r="KL37" s="704"/>
      <c r="KM37" s="704"/>
      <c r="KN37" s="704"/>
      <c r="KO37" s="704"/>
      <c r="KP37" s="704"/>
      <c r="KQ37" s="704"/>
      <c r="KR37" s="704"/>
      <c r="KS37" s="704"/>
      <c r="KT37" s="704"/>
      <c r="KU37" s="704"/>
      <c r="KV37" s="704"/>
      <c r="KW37" s="704"/>
      <c r="KX37" s="704"/>
      <c r="KY37" s="704"/>
      <c r="KZ37" s="704"/>
      <c r="LA37" s="704"/>
      <c r="LB37" s="704"/>
      <c r="LC37" s="704"/>
      <c r="LD37" s="704"/>
      <c r="LE37" s="704"/>
      <c r="LF37" s="704"/>
      <c r="LG37" s="704"/>
      <c r="LH37" s="704"/>
      <c r="LI37" s="704"/>
      <c r="LJ37" s="704"/>
      <c r="LK37" s="704"/>
      <c r="LL37" s="704"/>
      <c r="LM37" s="704"/>
      <c r="LN37" s="704"/>
      <c r="LO37" s="704"/>
      <c r="LP37" s="704"/>
      <c r="LQ37" s="704"/>
      <c r="LR37" s="704"/>
      <c r="LS37" s="704"/>
      <c r="LT37" s="704"/>
      <c r="LU37" s="704"/>
      <c r="LV37" s="704"/>
      <c r="LW37" s="704"/>
      <c r="LX37" s="704"/>
      <c r="LY37" s="704"/>
      <c r="LZ37" s="704"/>
      <c r="MA37" s="704"/>
      <c r="MB37" s="704"/>
      <c r="MC37" s="704"/>
      <c r="MD37" s="704"/>
      <c r="ME37" s="704"/>
      <c r="MF37" s="704"/>
      <c r="MG37" s="704"/>
      <c r="MH37" s="704"/>
      <c r="MI37" s="704"/>
      <c r="MJ37" s="704"/>
      <c r="MK37" s="704"/>
      <c r="ML37" s="704"/>
      <c r="MM37" s="704"/>
      <c r="MN37" s="704"/>
      <c r="MO37" s="704"/>
      <c r="MP37" s="704"/>
      <c r="MQ37" s="704"/>
      <c r="MR37" s="704"/>
      <c r="MS37" s="704"/>
      <c r="MT37" s="704"/>
      <c r="MU37" s="704"/>
      <c r="MV37" s="704"/>
      <c r="MW37" s="704"/>
      <c r="MX37" s="704"/>
      <c r="MY37" s="704"/>
      <c r="MZ37" s="704"/>
      <c r="NA37" s="704"/>
      <c r="NB37" s="704"/>
      <c r="NC37" s="704"/>
      <c r="ND37" s="704"/>
      <c r="NE37" s="704"/>
      <c r="NF37" s="704"/>
      <c r="NG37" s="704"/>
      <c r="NH37" s="704"/>
      <c r="NI37" s="704"/>
      <c r="NJ37" s="704"/>
      <c r="NK37" s="704"/>
      <c r="NL37" s="704"/>
      <c r="NM37" s="704"/>
      <c r="NN37" s="704"/>
      <c r="NO37" s="704"/>
      <c r="NP37" s="704"/>
      <c r="NQ37" s="704"/>
      <c r="NR37" s="704"/>
      <c r="NS37" s="704"/>
      <c r="NT37" s="704"/>
      <c r="NU37" s="704"/>
      <c r="NV37" s="704"/>
      <c r="NW37" s="704"/>
      <c r="NX37" s="704"/>
      <c r="NY37" s="704"/>
      <c r="NZ37" s="704"/>
      <c r="OA37" s="704"/>
      <c r="OB37" s="704"/>
      <c r="OC37" s="704"/>
      <c r="OD37" s="704"/>
      <c r="OE37" s="704"/>
      <c r="OF37" s="704"/>
      <c r="OG37" s="704"/>
      <c r="OH37" s="704"/>
      <c r="OI37" s="704"/>
      <c r="OJ37" s="704"/>
      <c r="OK37" s="704"/>
      <c r="OL37" s="704"/>
      <c r="OM37" s="704"/>
      <c r="ON37" s="704"/>
      <c r="OO37" s="704"/>
      <c r="OP37" s="704"/>
      <c r="OQ37" s="704"/>
      <c r="OR37" s="704"/>
      <c r="OS37" s="704"/>
      <c r="OT37" s="704"/>
      <c r="OU37" s="704"/>
      <c r="OV37" s="704"/>
      <c r="OW37" s="704"/>
      <c r="OX37" s="704"/>
      <c r="OY37" s="704"/>
      <c r="OZ37" s="704"/>
      <c r="PA37" s="704"/>
      <c r="PB37" s="704"/>
      <c r="PC37" s="704"/>
      <c r="PD37" s="704"/>
      <c r="PE37" s="704"/>
      <c r="PF37" s="704"/>
      <c r="PG37" s="704"/>
      <c r="PH37" s="704"/>
      <c r="PI37" s="704"/>
      <c r="PJ37" s="704"/>
      <c r="PK37" s="704"/>
      <c r="PL37" s="704"/>
      <c r="PM37" s="704"/>
      <c r="PN37" s="704"/>
      <c r="PO37" s="704"/>
      <c r="PP37" s="704"/>
      <c r="PQ37" s="704"/>
      <c r="PR37" s="704"/>
      <c r="PS37" s="704"/>
      <c r="PT37" s="704"/>
      <c r="PU37" s="704"/>
      <c r="PV37" s="704"/>
      <c r="PW37" s="704"/>
      <c r="PX37" s="704"/>
      <c r="PY37" s="704"/>
      <c r="PZ37" s="704"/>
      <c r="QA37" s="704"/>
      <c r="QB37" s="704"/>
      <c r="QC37" s="704"/>
      <c r="QD37" s="704"/>
      <c r="QE37" s="704"/>
      <c r="QF37" s="704"/>
      <c r="QG37" s="704"/>
      <c r="QH37" s="704"/>
      <c r="QI37" s="704"/>
      <c r="QJ37" s="704"/>
      <c r="QK37" s="704"/>
      <c r="QL37" s="704"/>
      <c r="QM37" s="704"/>
      <c r="QN37" s="704"/>
      <c r="QO37" s="704"/>
      <c r="QP37" s="704"/>
      <c r="QQ37" s="704"/>
      <c r="QR37" s="704"/>
      <c r="QS37" s="704"/>
      <c r="QT37" s="704"/>
      <c r="QU37" s="704"/>
      <c r="QV37" s="704"/>
      <c r="QW37" s="704"/>
      <c r="QX37" s="704"/>
      <c r="QY37" s="704"/>
      <c r="QZ37" s="704"/>
      <c r="RA37" s="704"/>
      <c r="RB37" s="704"/>
      <c r="RC37" s="704"/>
      <c r="RD37" s="704"/>
      <c r="RE37" s="704"/>
      <c r="RF37" s="704"/>
      <c r="RG37" s="704"/>
      <c r="RH37" s="704"/>
      <c r="RI37" s="704"/>
      <c r="RJ37" s="704"/>
      <c r="RK37" s="704"/>
      <c r="RL37" s="704"/>
      <c r="RM37" s="704"/>
      <c r="RN37" s="704"/>
      <c r="RO37" s="704"/>
      <c r="RP37" s="704"/>
      <c r="RQ37" s="704"/>
      <c r="RR37" s="704"/>
      <c r="RS37" s="704"/>
      <c r="RT37" s="704"/>
      <c r="RU37" s="704"/>
      <c r="RV37" s="704"/>
      <c r="RW37" s="704"/>
      <c r="RX37" s="704"/>
      <c r="RY37" s="704"/>
      <c r="RZ37" s="704"/>
      <c r="SA37" s="704"/>
      <c r="SB37" s="704"/>
      <c r="SC37" s="704"/>
      <c r="SD37" s="704"/>
      <c r="SE37" s="704"/>
      <c r="SF37" s="704"/>
      <c r="SG37" s="704"/>
      <c r="SH37" s="704"/>
      <c r="SI37" s="704"/>
      <c r="SJ37" s="704"/>
      <c r="SK37" s="704"/>
      <c r="SL37" s="704"/>
      <c r="SM37" s="704"/>
      <c r="SN37" s="704"/>
      <c r="SO37" s="704"/>
      <c r="SP37" s="704"/>
      <c r="SQ37" s="704"/>
      <c r="SR37" s="704"/>
      <c r="SS37" s="704"/>
      <c r="ST37" s="704"/>
      <c r="SU37" s="704"/>
      <c r="SV37" s="704"/>
      <c r="SW37" s="704"/>
      <c r="SX37" s="704"/>
      <c r="SY37" s="704"/>
      <c r="SZ37" s="704"/>
      <c r="TA37" s="704"/>
      <c r="TB37" s="704"/>
      <c r="TC37" s="704"/>
      <c r="TD37" s="704"/>
      <c r="TE37" s="704"/>
      <c r="TF37" s="704"/>
      <c r="TG37" s="704"/>
      <c r="TH37" s="704"/>
      <c r="TI37" s="704"/>
      <c r="TJ37" s="704"/>
      <c r="TK37" s="704"/>
      <c r="TL37" s="704"/>
      <c r="TM37" s="704"/>
      <c r="TN37" s="704"/>
      <c r="TO37" s="704"/>
      <c r="TP37" s="704"/>
      <c r="TQ37" s="704"/>
      <c r="TR37" s="704"/>
      <c r="TS37" s="704"/>
      <c r="TT37" s="704"/>
      <c r="TU37" s="704"/>
      <c r="TV37" s="704"/>
      <c r="TW37" s="704"/>
      <c r="TX37" s="704"/>
      <c r="TY37" s="704"/>
      <c r="TZ37" s="704"/>
      <c r="UA37" s="704"/>
      <c r="UB37" s="704"/>
      <c r="UC37" s="704"/>
      <c r="UD37" s="704"/>
      <c r="UE37" s="704"/>
      <c r="UF37" s="704"/>
      <c r="UG37" s="704"/>
      <c r="UH37" s="704"/>
      <c r="UI37" s="704"/>
      <c r="UJ37" s="704"/>
      <c r="UK37" s="704"/>
      <c r="UL37" s="704"/>
      <c r="UM37" s="704"/>
      <c r="UN37" s="704"/>
      <c r="UO37" s="704"/>
      <c r="UP37" s="704"/>
      <c r="UQ37" s="704"/>
      <c r="UR37" s="704"/>
      <c r="US37" s="704"/>
      <c r="UT37" s="704"/>
      <c r="UU37" s="704"/>
      <c r="UV37" s="704"/>
      <c r="UW37" s="704"/>
      <c r="UX37" s="704"/>
      <c r="UY37" s="704"/>
      <c r="UZ37" s="704"/>
      <c r="VA37" s="704"/>
      <c r="VB37" s="704"/>
      <c r="VC37" s="704"/>
      <c r="VD37" s="704"/>
      <c r="VE37" s="704"/>
      <c r="VF37" s="704"/>
      <c r="VG37" s="704"/>
      <c r="VH37" s="704"/>
      <c r="VI37" s="704"/>
      <c r="VJ37" s="704"/>
      <c r="VK37" s="704"/>
      <c r="VL37" s="704"/>
      <c r="VM37" s="704"/>
      <c r="VN37" s="704"/>
      <c r="VO37" s="704"/>
      <c r="VP37" s="704"/>
      <c r="VQ37" s="704"/>
      <c r="VR37" s="704"/>
      <c r="VS37" s="704"/>
      <c r="VT37" s="704"/>
      <c r="VU37" s="704"/>
      <c r="VV37" s="704"/>
      <c r="VW37" s="704"/>
      <c r="VX37" s="704"/>
      <c r="VY37" s="704"/>
      <c r="VZ37" s="704"/>
      <c r="WA37" s="704"/>
      <c r="WB37" s="704"/>
      <c r="WC37" s="704"/>
      <c r="WD37" s="704"/>
      <c r="WE37" s="704"/>
      <c r="WF37" s="704"/>
      <c r="WG37" s="704"/>
      <c r="WH37" s="704"/>
      <c r="WI37" s="704"/>
      <c r="WJ37" s="704"/>
      <c r="WK37" s="704"/>
      <c r="WL37" s="704"/>
      <c r="WM37" s="704"/>
      <c r="WN37" s="704"/>
      <c r="WO37" s="704"/>
      <c r="WP37" s="704"/>
      <c r="WQ37" s="704"/>
      <c r="WR37" s="704"/>
      <c r="WS37" s="704"/>
      <c r="WT37" s="704"/>
      <c r="WU37" s="704"/>
      <c r="WV37" s="704"/>
      <c r="WW37" s="704"/>
      <c r="WX37" s="704"/>
      <c r="WY37" s="704"/>
      <c r="WZ37" s="704"/>
      <c r="XA37" s="704"/>
      <c r="XB37" s="704"/>
      <c r="XC37" s="704"/>
      <c r="XD37" s="704"/>
      <c r="XE37" s="704"/>
      <c r="XF37" s="704"/>
      <c r="XG37" s="704"/>
      <c r="XH37" s="704"/>
      <c r="XI37" s="704"/>
      <c r="XJ37" s="704"/>
      <c r="XK37" s="704"/>
      <c r="XL37" s="704"/>
      <c r="XM37" s="704"/>
      <c r="XN37" s="704"/>
      <c r="XO37" s="704"/>
      <c r="XP37" s="704"/>
      <c r="XQ37" s="704"/>
      <c r="XR37" s="704"/>
      <c r="XS37" s="704"/>
      <c r="XT37" s="704"/>
      <c r="XU37" s="704"/>
      <c r="XV37" s="704"/>
      <c r="XW37" s="704"/>
      <c r="XX37" s="704"/>
      <c r="XY37" s="704"/>
      <c r="XZ37" s="704"/>
      <c r="YA37" s="704"/>
      <c r="YB37" s="704"/>
      <c r="YC37" s="704"/>
      <c r="YD37" s="704"/>
      <c r="YE37" s="704"/>
      <c r="YF37" s="704"/>
      <c r="YG37" s="704"/>
      <c r="YH37" s="704"/>
      <c r="YI37" s="704"/>
      <c r="YJ37" s="704"/>
      <c r="YK37" s="704"/>
      <c r="YL37" s="704"/>
      <c r="YM37" s="704"/>
      <c r="YN37" s="704"/>
      <c r="YO37" s="704"/>
      <c r="YP37" s="704"/>
      <c r="YQ37" s="704"/>
      <c r="YR37" s="704"/>
      <c r="YS37" s="704"/>
      <c r="YT37" s="704"/>
      <c r="YU37" s="704"/>
      <c r="YV37" s="704"/>
      <c r="YW37" s="704"/>
      <c r="YX37" s="704"/>
      <c r="YY37" s="704"/>
      <c r="YZ37" s="704"/>
      <c r="ZA37" s="704"/>
      <c r="ZB37" s="704"/>
      <c r="ZC37" s="704"/>
      <c r="ZD37" s="704"/>
      <c r="ZE37" s="704"/>
      <c r="ZF37" s="704"/>
      <c r="ZG37" s="704"/>
      <c r="ZH37" s="704"/>
      <c r="ZI37" s="704"/>
      <c r="ZJ37" s="704"/>
      <c r="ZK37" s="704"/>
      <c r="ZL37" s="704"/>
      <c r="ZM37" s="704"/>
      <c r="ZN37" s="704"/>
      <c r="ZO37" s="704"/>
      <c r="ZP37" s="704"/>
      <c r="ZQ37" s="704"/>
      <c r="ZR37" s="704"/>
      <c r="ZS37" s="704"/>
      <c r="ZT37" s="704"/>
      <c r="ZU37" s="704"/>
      <c r="ZV37" s="704"/>
      <c r="ZW37" s="704"/>
      <c r="ZX37" s="704"/>
      <c r="ZY37" s="704"/>
      <c r="ZZ37" s="704"/>
      <c r="AAA37" s="704"/>
      <c r="AAB37" s="704"/>
      <c r="AAC37" s="704"/>
      <c r="AAD37" s="704"/>
      <c r="AAE37" s="704"/>
      <c r="AAF37" s="704"/>
      <c r="AAG37" s="704"/>
      <c r="AAH37" s="704"/>
      <c r="AAI37" s="704"/>
      <c r="AAJ37" s="704"/>
      <c r="AAK37" s="704"/>
      <c r="AAL37" s="704"/>
      <c r="AAM37" s="704"/>
      <c r="AAN37" s="704"/>
      <c r="AAO37" s="704"/>
      <c r="AAP37" s="704"/>
      <c r="AAQ37" s="704"/>
      <c r="AAR37" s="704"/>
      <c r="AAS37" s="704"/>
      <c r="AAT37" s="704"/>
      <c r="AAU37" s="704"/>
      <c r="AAV37" s="704"/>
      <c r="AAW37" s="704"/>
      <c r="AAX37" s="704"/>
      <c r="AAY37" s="704"/>
      <c r="AAZ37" s="704"/>
      <c r="ABA37" s="704"/>
      <c r="ABB37" s="704"/>
      <c r="ABC37" s="704"/>
      <c r="ABD37" s="704"/>
      <c r="ABE37" s="704"/>
      <c r="ABF37" s="704"/>
      <c r="ABG37" s="704"/>
      <c r="ABH37" s="704"/>
      <c r="ABI37" s="704"/>
      <c r="ABJ37" s="704"/>
      <c r="ABK37" s="704"/>
      <c r="ABL37" s="704"/>
      <c r="ABM37" s="704"/>
      <c r="ABN37" s="704"/>
      <c r="ABO37" s="704"/>
      <c r="ABP37" s="704"/>
      <c r="ABQ37" s="704"/>
      <c r="ABR37" s="704"/>
      <c r="ABS37" s="704"/>
      <c r="ABT37" s="704"/>
      <c r="ABU37" s="704"/>
      <c r="ABV37" s="704"/>
      <c r="ABW37" s="704"/>
      <c r="ABX37" s="704"/>
      <c r="ABY37" s="704"/>
      <c r="ABZ37" s="704"/>
      <c r="ACA37" s="704"/>
      <c r="ACB37" s="704"/>
      <c r="ACC37" s="704"/>
      <c r="ACD37" s="704"/>
      <c r="ACE37" s="704"/>
      <c r="ACF37" s="704"/>
      <c r="ACG37" s="704"/>
      <c r="ACH37" s="704"/>
      <c r="ACI37" s="704"/>
      <c r="ACJ37" s="704"/>
      <c r="ACK37" s="704"/>
      <c r="ACL37" s="704"/>
      <c r="ACM37" s="704"/>
      <c r="ACN37" s="704"/>
      <c r="ACO37" s="704"/>
      <c r="ACP37" s="704"/>
      <c r="ACQ37" s="704"/>
      <c r="ACR37" s="704"/>
      <c r="ACS37" s="704"/>
      <c r="ACT37" s="704"/>
      <c r="ACU37" s="704"/>
      <c r="ACV37" s="704"/>
      <c r="ACW37" s="704"/>
      <c r="ACX37" s="704"/>
      <c r="ACY37" s="704"/>
      <c r="ACZ37" s="704"/>
      <c r="ADA37" s="704"/>
      <c r="ADB37" s="704"/>
      <c r="ADC37" s="704"/>
      <c r="ADD37" s="704"/>
      <c r="ADE37" s="704"/>
      <c r="ADF37" s="704"/>
      <c r="ADG37" s="704"/>
      <c r="ADH37" s="704"/>
      <c r="ADI37" s="704"/>
      <c r="ADJ37" s="704"/>
      <c r="ADK37" s="704"/>
      <c r="ADL37" s="704"/>
      <c r="ADM37" s="704"/>
      <c r="ADN37" s="704"/>
      <c r="ADO37" s="704"/>
      <c r="ADP37" s="704"/>
      <c r="ADQ37" s="704"/>
      <c r="ADR37" s="704"/>
      <c r="ADS37" s="704"/>
      <c r="ADT37" s="704"/>
      <c r="ADU37" s="704"/>
      <c r="ADV37" s="704"/>
      <c r="ADW37" s="704"/>
      <c r="ADX37" s="704"/>
      <c r="ADY37" s="704"/>
      <c r="ADZ37" s="704"/>
      <c r="AEA37" s="704"/>
      <c r="AEB37" s="704"/>
      <c r="AEC37" s="704"/>
      <c r="AED37" s="704"/>
      <c r="AEE37" s="704"/>
      <c r="AEF37" s="704"/>
      <c r="AEG37" s="704"/>
      <c r="AEH37" s="704"/>
      <c r="AEI37" s="704"/>
      <c r="AEJ37" s="704"/>
      <c r="AEK37" s="704"/>
      <c r="AEL37" s="704"/>
      <c r="AEM37" s="704"/>
      <c r="AEN37" s="704"/>
      <c r="AEO37" s="704"/>
      <c r="AEP37" s="704"/>
      <c r="AEQ37" s="704"/>
      <c r="AER37" s="704"/>
      <c r="AES37" s="704"/>
      <c r="AET37" s="704"/>
      <c r="AEU37" s="704"/>
      <c r="AEV37" s="704"/>
      <c r="AEW37" s="704"/>
      <c r="AEX37" s="704"/>
      <c r="AEY37" s="704"/>
      <c r="AEZ37" s="704"/>
      <c r="AFA37" s="704"/>
      <c r="AFB37" s="704"/>
      <c r="AFC37" s="704"/>
      <c r="AFD37" s="704"/>
      <c r="AFE37" s="704"/>
      <c r="AFF37" s="704"/>
      <c r="AFG37" s="704"/>
      <c r="AFH37" s="704"/>
      <c r="AFI37" s="704"/>
      <c r="AFJ37" s="704"/>
      <c r="AFK37" s="704"/>
      <c r="AFL37" s="704"/>
      <c r="AFM37" s="704"/>
      <c r="AFN37" s="704"/>
      <c r="AFO37" s="704"/>
      <c r="AFP37" s="704"/>
      <c r="AFQ37" s="704"/>
      <c r="AFR37" s="704"/>
      <c r="AFS37" s="704"/>
      <c r="AFT37" s="704"/>
      <c r="AFU37" s="704"/>
      <c r="AFV37" s="704"/>
      <c r="AFW37" s="704"/>
      <c r="AFX37" s="704"/>
      <c r="AFY37" s="704"/>
      <c r="AFZ37" s="704"/>
      <c r="AGA37" s="704"/>
      <c r="AGB37" s="704"/>
      <c r="AGC37" s="704"/>
      <c r="AGD37" s="704"/>
      <c r="AGE37" s="704"/>
      <c r="AGF37" s="704"/>
      <c r="AGG37" s="704"/>
      <c r="AGH37" s="704"/>
      <c r="AGI37" s="704"/>
      <c r="AGJ37" s="704"/>
      <c r="AGK37" s="704"/>
      <c r="AGL37" s="704"/>
      <c r="AGM37" s="704"/>
      <c r="AGN37" s="704"/>
      <c r="AGO37" s="704"/>
      <c r="AGP37" s="704"/>
      <c r="AGQ37" s="704"/>
      <c r="AGR37" s="704"/>
      <c r="AGS37" s="704"/>
      <c r="AGT37" s="704"/>
      <c r="AGU37" s="704"/>
      <c r="AGV37" s="704"/>
      <c r="AGW37" s="704"/>
      <c r="AGX37" s="704"/>
      <c r="AGY37" s="704"/>
      <c r="AGZ37" s="704"/>
      <c r="AHA37" s="704"/>
      <c r="AHB37" s="704"/>
      <c r="AHC37" s="704"/>
      <c r="AHD37" s="704"/>
      <c r="AHE37" s="704"/>
      <c r="AHF37" s="704"/>
      <c r="AHG37" s="704"/>
      <c r="AHH37" s="704"/>
      <c r="AHI37" s="704"/>
      <c r="AHJ37" s="704"/>
      <c r="AHK37" s="704"/>
      <c r="AHL37" s="704"/>
      <c r="AHM37" s="704"/>
      <c r="AHN37" s="704"/>
      <c r="AHO37" s="704"/>
      <c r="AHP37" s="704"/>
      <c r="AHQ37" s="704"/>
      <c r="AHR37" s="704"/>
      <c r="AHS37" s="704"/>
      <c r="AHT37" s="704"/>
      <c r="AHU37" s="704"/>
      <c r="AHV37" s="704"/>
      <c r="AHW37" s="704"/>
      <c r="AHX37" s="704"/>
      <c r="AHY37" s="704"/>
      <c r="AHZ37" s="704"/>
      <c r="AIA37" s="704"/>
      <c r="AIB37" s="704"/>
      <c r="AIC37" s="704"/>
      <c r="AID37" s="704"/>
      <c r="AIE37" s="704"/>
      <c r="AIF37" s="704"/>
      <c r="AIG37" s="704"/>
      <c r="AIH37" s="704"/>
      <c r="AII37" s="704"/>
      <c r="AIJ37" s="704"/>
      <c r="AIK37" s="704"/>
      <c r="AIL37" s="704"/>
      <c r="AIM37" s="704"/>
      <c r="AIN37" s="704"/>
      <c r="AIO37" s="704"/>
      <c r="AIP37" s="704"/>
      <c r="AIQ37" s="704"/>
      <c r="AIR37" s="704"/>
      <c r="AIS37" s="704"/>
      <c r="AIT37" s="704"/>
      <c r="AIU37" s="704"/>
      <c r="AIV37" s="704"/>
      <c r="AIW37" s="704"/>
      <c r="AIX37" s="704"/>
      <c r="AIY37" s="704"/>
      <c r="AIZ37" s="704"/>
      <c r="AJA37" s="704"/>
      <c r="AJB37" s="704"/>
      <c r="AJC37" s="704"/>
      <c r="AJD37" s="704"/>
      <c r="AJE37" s="704"/>
      <c r="AJF37" s="704"/>
      <c r="AJG37" s="704"/>
      <c r="AJH37" s="704"/>
      <c r="AJI37" s="704"/>
      <c r="AJJ37" s="704"/>
      <c r="AJK37" s="704"/>
      <c r="AJL37" s="704"/>
      <c r="AJM37" s="704"/>
      <c r="AJN37" s="704"/>
      <c r="AJO37" s="704"/>
      <c r="AJP37" s="704"/>
      <c r="AJQ37" s="704"/>
      <c r="AJR37" s="704"/>
      <c r="AJS37" s="704"/>
      <c r="AJT37" s="704"/>
      <c r="AJU37" s="704"/>
      <c r="AJV37" s="704"/>
      <c r="AJW37" s="704"/>
      <c r="AJX37" s="704"/>
      <c r="AJY37" s="704"/>
      <c r="AJZ37" s="704"/>
      <c r="AKA37" s="704"/>
      <c r="AKB37" s="704"/>
      <c r="AKC37" s="704"/>
      <c r="AKD37" s="704"/>
      <c r="AKE37" s="704"/>
      <c r="AKF37" s="704"/>
      <c r="AKG37" s="704"/>
      <c r="AKH37" s="704"/>
      <c r="AKI37" s="704"/>
      <c r="AKJ37" s="704"/>
      <c r="AKK37" s="704"/>
      <c r="AKL37" s="704"/>
      <c r="AKM37" s="704"/>
      <c r="AKN37" s="704"/>
      <c r="AKO37" s="704"/>
      <c r="AKP37" s="704"/>
      <c r="AKQ37" s="704"/>
      <c r="AKR37" s="704"/>
      <c r="AKS37" s="704"/>
      <c r="AKT37" s="704"/>
      <c r="AKU37" s="704"/>
      <c r="AKV37" s="704"/>
      <c r="AKW37" s="704"/>
      <c r="AKX37" s="704"/>
      <c r="AKY37" s="704"/>
      <c r="AKZ37" s="704"/>
      <c r="ALA37" s="704"/>
      <c r="ALB37" s="704"/>
      <c r="ALC37" s="704"/>
      <c r="ALD37" s="704"/>
      <c r="ALE37" s="704"/>
      <c r="ALF37" s="704"/>
      <c r="ALG37" s="704"/>
      <c r="ALH37" s="704"/>
      <c r="ALI37" s="704"/>
      <c r="ALJ37" s="704"/>
      <c r="ALK37" s="704"/>
      <c r="ALL37" s="704"/>
      <c r="ALM37" s="704"/>
      <c r="ALN37" s="704"/>
      <c r="ALO37" s="704"/>
      <c r="ALP37" s="704"/>
      <c r="ALQ37" s="704"/>
      <c r="ALR37" s="704"/>
      <c r="ALS37" s="704"/>
      <c r="ALT37" s="704"/>
      <c r="ALU37" s="704"/>
      <c r="ALV37" s="704"/>
      <c r="ALW37" s="704"/>
      <c r="ALX37" s="704"/>
      <c r="ALY37" s="704"/>
      <c r="ALZ37" s="704"/>
      <c r="AMA37" s="704"/>
      <c r="AMB37" s="704"/>
      <c r="AMC37" s="704"/>
      <c r="AMD37" s="704"/>
      <c r="AME37" s="704"/>
      <c r="AMF37" s="704"/>
      <c r="AMG37" s="704"/>
      <c r="AMH37" s="704"/>
      <c r="AMI37" s="704"/>
      <c r="AMJ37" s="704"/>
      <c r="AMK37" s="704"/>
      <c r="AML37" s="704"/>
      <c r="AMM37" s="704"/>
      <c r="AMN37" s="704"/>
      <c r="AMO37" s="704"/>
      <c r="AMP37" s="704"/>
      <c r="AMQ37" s="704"/>
      <c r="AMR37" s="704"/>
      <c r="AMS37" s="704"/>
      <c r="AMT37" s="704"/>
      <c r="AMU37" s="704"/>
      <c r="AMV37" s="704"/>
      <c r="AMW37" s="704"/>
      <c r="AMX37" s="704"/>
      <c r="AMY37" s="704"/>
      <c r="AMZ37" s="704"/>
      <c r="ANA37" s="704"/>
      <c r="ANB37" s="704"/>
      <c r="ANC37" s="704"/>
      <c r="AND37" s="704"/>
      <c r="ANE37" s="704"/>
      <c r="ANF37" s="704"/>
      <c r="ANG37" s="704"/>
      <c r="ANH37" s="704"/>
      <c r="ANI37" s="704"/>
      <c r="ANJ37" s="704"/>
      <c r="ANK37" s="704"/>
      <c r="ANL37" s="704"/>
      <c r="ANM37" s="704"/>
      <c r="ANN37" s="704"/>
      <c r="ANO37" s="704"/>
      <c r="ANP37" s="704"/>
      <c r="ANQ37" s="704"/>
      <c r="ANR37" s="704"/>
      <c r="ANS37" s="704"/>
      <c r="ANT37" s="704"/>
      <c r="ANU37" s="704"/>
      <c r="ANV37" s="704"/>
      <c r="ANW37" s="704"/>
      <c r="ANX37" s="704"/>
      <c r="ANY37" s="704"/>
      <c r="ANZ37" s="704"/>
      <c r="AOA37" s="704"/>
      <c r="AOB37" s="704"/>
      <c r="AOC37" s="704"/>
      <c r="AOD37" s="704"/>
      <c r="AOE37" s="704"/>
      <c r="AOF37" s="704"/>
      <c r="AOG37" s="704"/>
      <c r="AOH37" s="704"/>
      <c r="AOI37" s="704"/>
      <c r="AOJ37" s="704"/>
      <c r="AOK37" s="704"/>
      <c r="AOL37" s="704"/>
      <c r="AOM37" s="704"/>
      <c r="AON37" s="704"/>
      <c r="AOO37" s="704"/>
      <c r="AOP37" s="704"/>
      <c r="AOQ37" s="704"/>
      <c r="AOR37" s="704"/>
      <c r="AOS37" s="704"/>
      <c r="AOT37" s="704"/>
      <c r="AOU37" s="704"/>
      <c r="AOV37" s="704"/>
      <c r="AOW37" s="704"/>
      <c r="AOX37" s="704"/>
      <c r="AOY37" s="704"/>
      <c r="AOZ37" s="704"/>
      <c r="APA37" s="704"/>
      <c r="APB37" s="704"/>
      <c r="APC37" s="704"/>
      <c r="APD37" s="704"/>
      <c r="APE37" s="704"/>
      <c r="APF37" s="704"/>
      <c r="APG37" s="704"/>
      <c r="APH37" s="704"/>
      <c r="API37" s="704"/>
      <c r="APJ37" s="704"/>
      <c r="APK37" s="704"/>
      <c r="APL37" s="704"/>
      <c r="APM37" s="704"/>
      <c r="APN37" s="704"/>
      <c r="APO37" s="704"/>
      <c r="APP37" s="704"/>
      <c r="APQ37" s="704"/>
      <c r="APR37" s="704"/>
      <c r="APS37" s="704"/>
      <c r="APT37" s="704"/>
      <c r="APU37" s="704"/>
      <c r="APV37" s="704"/>
      <c r="APW37" s="704"/>
      <c r="APX37" s="704"/>
      <c r="APY37" s="704"/>
      <c r="APZ37" s="704"/>
      <c r="AQA37" s="704"/>
      <c r="AQB37" s="704"/>
      <c r="AQC37" s="704"/>
      <c r="AQD37" s="704"/>
      <c r="AQE37" s="704"/>
      <c r="AQF37" s="704"/>
      <c r="AQG37" s="704"/>
      <c r="AQH37" s="704"/>
      <c r="AQI37" s="704"/>
      <c r="AQJ37" s="704"/>
      <c r="AQK37" s="704"/>
      <c r="AQL37" s="704"/>
      <c r="AQM37" s="704"/>
      <c r="AQN37" s="704"/>
      <c r="AQO37" s="704"/>
      <c r="AQP37" s="704"/>
      <c r="AQQ37" s="704"/>
      <c r="AQR37" s="704"/>
      <c r="AQS37" s="704"/>
      <c r="AQT37" s="704"/>
      <c r="AQU37" s="704"/>
      <c r="AQV37" s="704"/>
      <c r="AQW37" s="704"/>
      <c r="AQX37" s="704"/>
      <c r="AQY37" s="704"/>
      <c r="AQZ37" s="704"/>
      <c r="ARA37" s="704"/>
      <c r="ARB37" s="704"/>
      <c r="ARC37" s="704"/>
      <c r="ARD37" s="704"/>
      <c r="ARE37" s="704"/>
      <c r="ARF37" s="704"/>
      <c r="ARG37" s="704"/>
      <c r="ARH37" s="704"/>
      <c r="ARI37" s="704"/>
      <c r="ARJ37" s="704"/>
      <c r="ARK37" s="704"/>
      <c r="ARL37" s="704"/>
      <c r="ARM37" s="704"/>
      <c r="ARN37" s="704"/>
      <c r="ARO37" s="704"/>
      <c r="ARP37" s="704"/>
      <c r="ARQ37" s="704"/>
      <c r="ARR37" s="704"/>
      <c r="ARS37" s="704"/>
      <c r="ART37" s="704"/>
      <c r="ARU37" s="704"/>
      <c r="ARV37" s="704"/>
      <c r="ARW37" s="704"/>
      <c r="ARX37" s="704"/>
      <c r="ARY37" s="704"/>
      <c r="ARZ37" s="704"/>
      <c r="ASA37" s="704"/>
      <c r="ASB37" s="704"/>
      <c r="ASC37" s="704"/>
      <c r="ASD37" s="704"/>
      <c r="ASE37" s="704"/>
      <c r="ASF37" s="704"/>
      <c r="ASG37" s="704"/>
      <c r="ASH37" s="704"/>
      <c r="ASI37" s="704"/>
      <c r="ASJ37" s="704"/>
      <c r="ASK37" s="704"/>
      <c r="ASL37" s="704"/>
      <c r="ASM37" s="704"/>
      <c r="ASN37" s="704"/>
      <c r="ASO37" s="704"/>
      <c r="ASP37" s="704"/>
      <c r="ASQ37" s="704"/>
      <c r="ASR37" s="704"/>
      <c r="ASS37" s="704"/>
      <c r="AST37" s="704"/>
      <c r="ASU37" s="704"/>
      <c r="ASV37" s="704"/>
      <c r="ASW37" s="704"/>
      <c r="ASX37" s="704"/>
      <c r="ASY37" s="704"/>
      <c r="ASZ37" s="704"/>
      <c r="ATA37" s="704"/>
      <c r="ATB37" s="704"/>
      <c r="ATC37" s="704"/>
      <c r="ATD37" s="704"/>
      <c r="ATE37" s="704"/>
      <c r="ATF37" s="704"/>
      <c r="ATG37" s="704"/>
      <c r="ATH37" s="704"/>
      <c r="ATI37" s="704"/>
      <c r="ATJ37" s="704"/>
      <c r="ATK37" s="704"/>
      <c r="ATL37" s="704"/>
      <c r="ATM37" s="704"/>
      <c r="ATN37" s="704"/>
      <c r="ATO37" s="704"/>
      <c r="ATP37" s="704"/>
      <c r="ATQ37" s="704"/>
      <c r="ATR37" s="704"/>
      <c r="ATS37" s="704"/>
      <c r="ATT37" s="704"/>
      <c r="ATU37" s="704"/>
      <c r="ATV37" s="704"/>
      <c r="ATW37" s="704"/>
      <c r="ATX37" s="704"/>
      <c r="ATY37" s="704"/>
      <c r="ATZ37" s="704"/>
      <c r="AUA37" s="704"/>
      <c r="AUB37" s="704"/>
      <c r="AUC37" s="704"/>
      <c r="AUD37" s="704"/>
      <c r="AUE37" s="704"/>
      <c r="AUF37" s="704"/>
      <c r="AUG37" s="704"/>
      <c r="AUH37" s="704"/>
      <c r="AUI37" s="704"/>
      <c r="AUJ37" s="704"/>
      <c r="AUK37" s="704"/>
      <c r="AUL37" s="704"/>
      <c r="AUM37" s="704"/>
      <c r="AUN37" s="704"/>
      <c r="AUO37" s="704"/>
      <c r="AUP37" s="704"/>
      <c r="AUQ37" s="704"/>
      <c r="AUR37" s="704"/>
      <c r="AUS37" s="704"/>
      <c r="AUT37" s="704"/>
      <c r="AUU37" s="704"/>
      <c r="AUV37" s="704"/>
      <c r="AUW37" s="704"/>
      <c r="AUX37" s="704"/>
      <c r="AUY37" s="704"/>
      <c r="AUZ37" s="704"/>
      <c r="AVA37" s="704"/>
      <c r="AVB37" s="704"/>
      <c r="AVC37" s="704"/>
      <c r="AVD37" s="704"/>
      <c r="AVE37" s="704"/>
      <c r="AVF37" s="704"/>
      <c r="AVG37" s="704"/>
      <c r="AVH37" s="704"/>
      <c r="AVI37" s="704"/>
      <c r="AVJ37" s="704"/>
      <c r="AVK37" s="704"/>
      <c r="AVL37" s="704"/>
      <c r="AVM37" s="704"/>
      <c r="AVN37" s="704"/>
      <c r="AVO37" s="704"/>
      <c r="AVP37" s="704"/>
      <c r="AVQ37" s="704"/>
      <c r="AVR37" s="704"/>
      <c r="AVS37" s="704"/>
      <c r="AVT37" s="704"/>
      <c r="AVU37" s="704"/>
      <c r="AVV37" s="704"/>
      <c r="AVW37" s="704"/>
      <c r="AVX37" s="704"/>
      <c r="AVY37" s="704"/>
      <c r="AVZ37" s="704"/>
      <c r="AWA37" s="704"/>
      <c r="AWB37" s="704"/>
      <c r="AWC37" s="704"/>
      <c r="AWD37" s="704"/>
      <c r="AWE37" s="704"/>
      <c r="AWF37" s="704"/>
      <c r="AWG37" s="704"/>
      <c r="AWH37" s="704"/>
      <c r="AWI37" s="704"/>
      <c r="AWJ37" s="704"/>
      <c r="AWK37" s="704"/>
      <c r="AWL37" s="704"/>
      <c r="AWM37" s="704"/>
      <c r="AWN37" s="704"/>
      <c r="AWO37" s="704"/>
      <c r="AWP37" s="704"/>
      <c r="AWQ37" s="704"/>
      <c r="AWR37" s="704"/>
      <c r="AWS37" s="704"/>
      <c r="AWT37" s="704"/>
      <c r="AWU37" s="704"/>
      <c r="AWV37" s="704"/>
      <c r="AWW37" s="704"/>
      <c r="AWX37" s="704"/>
      <c r="AWY37" s="704"/>
      <c r="AWZ37" s="704"/>
      <c r="AXA37" s="704"/>
      <c r="AXB37" s="704"/>
      <c r="AXC37" s="704"/>
      <c r="AXD37" s="704"/>
      <c r="AXE37" s="704"/>
      <c r="AXF37" s="704"/>
      <c r="AXG37" s="704"/>
      <c r="AXH37" s="704"/>
      <c r="AXI37" s="704"/>
      <c r="AXJ37" s="704"/>
      <c r="AXK37" s="704"/>
      <c r="AXL37" s="704"/>
      <c r="AXM37" s="704"/>
      <c r="AXN37" s="704"/>
      <c r="AXO37" s="704"/>
      <c r="AXP37" s="704"/>
      <c r="AXQ37" s="704"/>
      <c r="AXR37" s="704"/>
      <c r="AXS37" s="704"/>
      <c r="AXT37" s="704"/>
      <c r="AXU37" s="704"/>
      <c r="AXV37" s="704"/>
      <c r="AXW37" s="704"/>
      <c r="AXX37" s="704"/>
      <c r="AXY37" s="704"/>
      <c r="AXZ37" s="704"/>
      <c r="AYA37" s="704"/>
      <c r="AYB37" s="704"/>
      <c r="AYC37" s="704"/>
      <c r="AYD37" s="704"/>
      <c r="AYE37" s="704"/>
      <c r="AYF37" s="704"/>
      <c r="AYG37" s="704"/>
      <c r="AYH37" s="704"/>
      <c r="AYI37" s="704"/>
      <c r="AYJ37" s="704"/>
      <c r="AYK37" s="704"/>
      <c r="AYL37" s="704"/>
      <c r="AYM37" s="704"/>
      <c r="AYN37" s="704"/>
      <c r="AYO37" s="704"/>
      <c r="AYP37" s="704"/>
      <c r="AYQ37" s="704"/>
      <c r="AYR37" s="704"/>
      <c r="AYS37" s="704"/>
      <c r="AYT37" s="704"/>
      <c r="AYU37" s="704"/>
      <c r="AYV37" s="704"/>
      <c r="AYW37" s="704"/>
      <c r="AYX37" s="704"/>
      <c r="AYY37" s="704"/>
      <c r="AYZ37" s="704"/>
      <c r="AZA37" s="704"/>
      <c r="AZB37" s="704"/>
      <c r="AZC37" s="704"/>
      <c r="AZD37" s="704"/>
      <c r="AZE37" s="704"/>
      <c r="AZF37" s="704"/>
      <c r="AZG37" s="704"/>
      <c r="AZH37" s="704"/>
      <c r="AZI37" s="704"/>
      <c r="AZJ37" s="704"/>
      <c r="AZK37" s="704"/>
      <c r="AZL37" s="704"/>
      <c r="AZM37" s="704"/>
      <c r="AZN37" s="704"/>
      <c r="AZO37" s="704"/>
      <c r="AZP37" s="704"/>
      <c r="AZQ37" s="704"/>
      <c r="AZR37" s="704"/>
      <c r="AZS37" s="704"/>
      <c r="AZT37" s="704"/>
      <c r="AZU37" s="704"/>
      <c r="AZV37" s="704"/>
      <c r="AZW37" s="704"/>
      <c r="AZX37" s="704"/>
      <c r="AZY37" s="704"/>
      <c r="AZZ37" s="704"/>
      <c r="BAA37" s="704"/>
      <c r="BAB37" s="704"/>
      <c r="BAC37" s="704"/>
      <c r="BAD37" s="704"/>
      <c r="BAE37" s="704"/>
      <c r="BAF37" s="704"/>
      <c r="BAG37" s="704"/>
      <c r="BAH37" s="704"/>
      <c r="BAI37" s="704"/>
      <c r="BAJ37" s="704"/>
      <c r="BAK37" s="704"/>
      <c r="BAL37" s="704"/>
      <c r="BAM37" s="704"/>
      <c r="BAN37" s="704"/>
      <c r="BAO37" s="704"/>
      <c r="BAP37" s="704"/>
      <c r="BAQ37" s="704"/>
      <c r="BAR37" s="704"/>
      <c r="BAS37" s="704"/>
      <c r="BAT37" s="704"/>
      <c r="BAU37" s="704"/>
      <c r="BAV37" s="704"/>
      <c r="BAW37" s="704"/>
      <c r="BAX37" s="704"/>
      <c r="BAY37" s="704"/>
      <c r="BAZ37" s="704"/>
      <c r="BBA37" s="704"/>
      <c r="BBB37" s="704"/>
      <c r="BBC37" s="704"/>
      <c r="BBD37" s="704"/>
      <c r="BBE37" s="704"/>
      <c r="BBF37" s="704"/>
      <c r="BBG37" s="704"/>
      <c r="BBH37" s="704"/>
      <c r="BBI37" s="704"/>
      <c r="BBJ37" s="704"/>
      <c r="BBK37" s="704"/>
      <c r="BBL37" s="704"/>
      <c r="BBM37" s="704"/>
      <c r="BBN37" s="704"/>
      <c r="BBO37" s="704"/>
      <c r="BBP37" s="704"/>
      <c r="BBQ37" s="704"/>
      <c r="BBR37" s="704"/>
      <c r="BBS37" s="704"/>
      <c r="BBT37" s="704"/>
      <c r="BBU37" s="704"/>
      <c r="BBV37" s="704"/>
      <c r="BBW37" s="704"/>
      <c r="BBX37" s="704"/>
      <c r="BBY37" s="704"/>
      <c r="BBZ37" s="704"/>
      <c r="BCA37" s="704"/>
      <c r="BCB37" s="704"/>
      <c r="BCC37" s="704"/>
      <c r="BCD37" s="704"/>
      <c r="BCE37" s="704"/>
      <c r="BCF37" s="704"/>
      <c r="BCG37" s="704"/>
      <c r="BCH37" s="704"/>
      <c r="BCI37" s="704"/>
      <c r="BCJ37" s="704"/>
      <c r="BCK37" s="704"/>
      <c r="BCL37" s="704"/>
      <c r="BCM37" s="704"/>
      <c r="BCN37" s="704"/>
      <c r="BCO37" s="704"/>
      <c r="BCP37" s="704"/>
      <c r="BCQ37" s="704"/>
      <c r="BCR37" s="704"/>
      <c r="BCS37" s="704"/>
      <c r="BCT37" s="704"/>
      <c r="BCU37" s="704"/>
      <c r="BCV37" s="704"/>
      <c r="BCW37" s="704"/>
      <c r="BCX37" s="704"/>
      <c r="BCY37" s="704"/>
      <c r="BCZ37" s="704"/>
      <c r="BDA37" s="704"/>
      <c r="BDB37" s="704"/>
      <c r="BDC37" s="704"/>
      <c r="BDD37" s="704"/>
      <c r="BDE37" s="704"/>
      <c r="BDF37" s="704"/>
      <c r="BDG37" s="704"/>
      <c r="BDH37" s="704"/>
      <c r="BDI37" s="704"/>
      <c r="BDJ37" s="704"/>
      <c r="BDK37" s="704"/>
      <c r="BDL37" s="704"/>
      <c r="BDM37" s="704"/>
      <c r="BDN37" s="704"/>
      <c r="BDO37" s="704"/>
      <c r="BDP37" s="704"/>
      <c r="BDQ37" s="704"/>
      <c r="BDR37" s="704"/>
      <c r="BDS37" s="704"/>
      <c r="BDT37" s="704"/>
      <c r="BDU37" s="704"/>
      <c r="BDV37" s="704"/>
      <c r="BDW37" s="704"/>
      <c r="BDX37" s="704"/>
      <c r="BDY37" s="704"/>
      <c r="BDZ37" s="704"/>
      <c r="BEA37" s="704"/>
      <c r="BEB37" s="704"/>
      <c r="BEC37" s="704"/>
      <c r="BED37" s="704"/>
      <c r="BEE37" s="704"/>
      <c r="BEF37" s="704"/>
      <c r="BEG37" s="704"/>
      <c r="BEH37" s="704"/>
      <c r="BEI37" s="704"/>
      <c r="BEJ37" s="704"/>
      <c r="BEK37" s="704"/>
      <c r="BEL37" s="704"/>
      <c r="BEM37" s="704"/>
      <c r="BEN37" s="704"/>
      <c r="BEO37" s="704"/>
      <c r="BEP37" s="704"/>
      <c r="BEQ37" s="704"/>
      <c r="BER37" s="704"/>
      <c r="BES37" s="704"/>
      <c r="BET37" s="704"/>
      <c r="BEU37" s="704"/>
      <c r="BEV37" s="704"/>
      <c r="BEW37" s="704"/>
      <c r="BEX37" s="704"/>
      <c r="BEY37" s="704"/>
      <c r="BEZ37" s="704"/>
      <c r="BFA37" s="704"/>
      <c r="BFB37" s="704"/>
      <c r="BFC37" s="704"/>
      <c r="BFD37" s="704"/>
      <c r="BFE37" s="704"/>
      <c r="BFF37" s="704"/>
      <c r="BFG37" s="704"/>
      <c r="BFH37" s="704"/>
      <c r="BFI37" s="704"/>
      <c r="BFJ37" s="704"/>
      <c r="BFK37" s="704"/>
      <c r="BFL37" s="704"/>
      <c r="BFM37" s="704"/>
      <c r="BFN37" s="704"/>
      <c r="BFO37" s="704"/>
      <c r="BFP37" s="704"/>
      <c r="BFQ37" s="704"/>
      <c r="BFR37" s="704"/>
      <c r="BFS37" s="704"/>
      <c r="BFT37" s="704"/>
      <c r="BFU37" s="704"/>
      <c r="BFV37" s="704"/>
      <c r="BFW37" s="704"/>
      <c r="BFX37" s="704"/>
      <c r="BFY37" s="704"/>
      <c r="BFZ37" s="704"/>
      <c r="BGA37" s="704"/>
      <c r="BGB37" s="704"/>
      <c r="BGC37" s="704"/>
      <c r="BGD37" s="704"/>
      <c r="BGE37" s="704"/>
      <c r="BGF37" s="704"/>
      <c r="BGG37" s="704"/>
      <c r="BGH37" s="704"/>
      <c r="BGI37" s="704"/>
      <c r="BGJ37" s="704"/>
      <c r="BGK37" s="704"/>
      <c r="BGL37" s="704"/>
      <c r="BGM37" s="704"/>
      <c r="BGN37" s="704"/>
      <c r="BGO37" s="704"/>
      <c r="BGP37" s="704"/>
      <c r="BGQ37" s="704"/>
      <c r="BGR37" s="704"/>
      <c r="BGS37" s="704"/>
      <c r="BGT37" s="704"/>
      <c r="BGU37" s="704"/>
      <c r="BGV37" s="704"/>
      <c r="BGW37" s="704"/>
      <c r="BGX37" s="704"/>
      <c r="BGY37" s="704"/>
      <c r="BGZ37" s="704"/>
      <c r="BHA37" s="704"/>
      <c r="BHB37" s="704"/>
      <c r="BHC37" s="704"/>
      <c r="BHD37" s="704"/>
      <c r="BHE37" s="704"/>
      <c r="BHF37" s="704"/>
      <c r="BHG37" s="704"/>
      <c r="BHH37" s="704"/>
      <c r="BHI37" s="704"/>
      <c r="BHJ37" s="704"/>
      <c r="BHK37" s="704"/>
      <c r="BHL37" s="704"/>
      <c r="BHM37" s="704"/>
      <c r="BHN37" s="704"/>
      <c r="BHO37" s="704"/>
      <c r="BHP37" s="704"/>
      <c r="BHQ37" s="704"/>
      <c r="BHR37" s="704"/>
      <c r="BHS37" s="704"/>
      <c r="BHT37" s="704"/>
      <c r="BHU37" s="704"/>
      <c r="BHV37" s="704"/>
      <c r="BHW37" s="704"/>
      <c r="BHX37" s="704"/>
      <c r="BHY37" s="704"/>
      <c r="BHZ37" s="704"/>
      <c r="BIA37" s="704"/>
      <c r="BIB37" s="704"/>
      <c r="BIC37" s="704"/>
      <c r="BID37" s="704"/>
      <c r="BIE37" s="704"/>
      <c r="BIF37" s="704"/>
      <c r="BIG37" s="704"/>
      <c r="BIH37" s="704"/>
      <c r="BII37" s="704"/>
      <c r="BIJ37" s="704"/>
      <c r="BIK37" s="704"/>
      <c r="BIL37" s="704"/>
      <c r="BIM37" s="704"/>
      <c r="BIN37" s="704"/>
      <c r="BIO37" s="704"/>
      <c r="BIP37" s="704"/>
      <c r="BIQ37" s="704"/>
      <c r="BIR37" s="704"/>
      <c r="BIS37" s="704"/>
      <c r="BIT37" s="704"/>
      <c r="BIU37" s="704"/>
      <c r="BIV37" s="704"/>
      <c r="BIW37" s="704"/>
      <c r="BIX37" s="704"/>
      <c r="BIY37" s="704"/>
      <c r="BIZ37" s="704"/>
      <c r="BJA37" s="704"/>
      <c r="BJB37" s="704"/>
      <c r="BJC37" s="704"/>
      <c r="BJD37" s="704"/>
      <c r="BJE37" s="704"/>
      <c r="BJF37" s="704"/>
      <c r="BJG37" s="704"/>
      <c r="BJH37" s="704"/>
      <c r="BJI37" s="704"/>
      <c r="BJJ37" s="704"/>
      <c r="BJK37" s="704"/>
      <c r="BJL37" s="704"/>
      <c r="BJM37" s="704"/>
      <c r="BJN37" s="704"/>
      <c r="BJO37" s="704"/>
      <c r="BJP37" s="704"/>
      <c r="BJQ37" s="704"/>
      <c r="BJR37" s="704"/>
      <c r="BJS37" s="704"/>
      <c r="BJT37" s="704"/>
      <c r="BJU37" s="704"/>
      <c r="BJV37" s="704"/>
      <c r="BJW37" s="704"/>
      <c r="BJX37" s="704"/>
      <c r="BJY37" s="704"/>
      <c r="BJZ37" s="704"/>
      <c r="BKA37" s="704"/>
      <c r="BKB37" s="704"/>
      <c r="BKC37" s="704"/>
      <c r="BKD37" s="704"/>
      <c r="BKE37" s="704"/>
      <c r="BKF37" s="704"/>
      <c r="BKG37" s="704"/>
      <c r="BKH37" s="704"/>
      <c r="BKI37" s="704"/>
      <c r="BKJ37" s="704"/>
      <c r="BKK37" s="704"/>
      <c r="BKL37" s="704"/>
      <c r="BKM37" s="704"/>
      <c r="BKN37" s="704"/>
      <c r="BKO37" s="704"/>
      <c r="BKP37" s="704"/>
      <c r="BKQ37" s="704"/>
      <c r="BKR37" s="704"/>
      <c r="BKS37" s="704"/>
      <c r="BKT37" s="704"/>
      <c r="BKU37" s="704"/>
      <c r="BKV37" s="704"/>
      <c r="BKW37" s="704"/>
      <c r="BKX37" s="704"/>
      <c r="BKY37" s="704"/>
      <c r="BKZ37" s="704"/>
      <c r="BLA37" s="704"/>
      <c r="BLB37" s="704"/>
      <c r="BLC37" s="704"/>
      <c r="BLD37" s="704"/>
      <c r="BLE37" s="704"/>
      <c r="BLF37" s="704"/>
      <c r="BLG37" s="704"/>
      <c r="BLH37" s="704"/>
      <c r="BLI37" s="704"/>
      <c r="BLJ37" s="704"/>
      <c r="BLK37" s="704"/>
      <c r="BLL37" s="704"/>
      <c r="BLM37" s="704"/>
      <c r="BLN37" s="704"/>
      <c r="BLO37" s="704"/>
      <c r="BLP37" s="704"/>
      <c r="BLQ37" s="704"/>
      <c r="BLR37" s="704"/>
      <c r="BLS37" s="704"/>
      <c r="BLT37" s="704"/>
      <c r="BLU37" s="704"/>
      <c r="BLV37" s="704"/>
      <c r="BLW37" s="704"/>
      <c r="BLX37" s="704"/>
      <c r="BLY37" s="704"/>
      <c r="BLZ37" s="704"/>
      <c r="BMA37" s="704"/>
      <c r="BMB37" s="704"/>
      <c r="BMC37" s="704"/>
      <c r="BMD37" s="704"/>
      <c r="BME37" s="704"/>
      <c r="BMF37" s="704"/>
      <c r="BMG37" s="704"/>
      <c r="BMH37" s="704"/>
      <c r="BMI37" s="704"/>
      <c r="BMJ37" s="704"/>
      <c r="BMK37" s="704"/>
      <c r="BML37" s="704"/>
      <c r="BMM37" s="704"/>
      <c r="BMN37" s="704"/>
      <c r="BMO37" s="704"/>
      <c r="BMP37" s="704"/>
      <c r="BMQ37" s="704"/>
      <c r="BMR37" s="704"/>
      <c r="BMS37" s="704"/>
      <c r="BMT37" s="704"/>
      <c r="BMU37" s="704"/>
      <c r="BMV37" s="704"/>
      <c r="BMW37" s="704"/>
      <c r="BMX37" s="704"/>
      <c r="BMY37" s="704"/>
      <c r="BMZ37" s="704"/>
      <c r="BNA37" s="704"/>
      <c r="BNB37" s="704"/>
      <c r="BNC37" s="704"/>
      <c r="BND37" s="704"/>
      <c r="BNE37" s="704"/>
      <c r="BNF37" s="704"/>
      <c r="BNG37" s="704"/>
      <c r="BNH37" s="704"/>
      <c r="BNI37" s="704"/>
      <c r="BNJ37" s="704"/>
      <c r="BNK37" s="704"/>
      <c r="BNL37" s="704"/>
      <c r="BNM37" s="704"/>
      <c r="BNN37" s="704"/>
      <c r="BNO37" s="704"/>
      <c r="BNP37" s="704"/>
      <c r="BNQ37" s="704"/>
      <c r="BNR37" s="704"/>
      <c r="BNS37" s="704"/>
      <c r="BNT37" s="704"/>
      <c r="BNU37" s="704"/>
      <c r="BNV37" s="704"/>
      <c r="BNW37" s="704"/>
      <c r="BNX37" s="704"/>
      <c r="BNY37" s="704"/>
      <c r="BNZ37" s="704"/>
      <c r="BOA37" s="704"/>
      <c r="BOB37" s="704"/>
      <c r="BOC37" s="704"/>
      <c r="BOD37" s="704"/>
      <c r="BOE37" s="704"/>
      <c r="BOF37" s="704"/>
      <c r="BOG37" s="704"/>
      <c r="BOH37" s="704"/>
      <c r="BOI37" s="704"/>
      <c r="BOJ37" s="704"/>
      <c r="BOK37" s="704"/>
      <c r="BOL37" s="704"/>
      <c r="BOM37" s="704"/>
      <c r="BON37" s="704"/>
      <c r="BOO37" s="704"/>
      <c r="BOP37" s="704"/>
      <c r="BOQ37" s="704"/>
      <c r="BOR37" s="704"/>
      <c r="BOS37" s="704"/>
      <c r="BOT37" s="704"/>
      <c r="BOU37" s="704"/>
      <c r="BOV37" s="704"/>
      <c r="BOW37" s="704"/>
      <c r="BOX37" s="704"/>
      <c r="BOY37" s="704"/>
      <c r="BOZ37" s="704"/>
      <c r="BPA37" s="704"/>
      <c r="BPB37" s="704"/>
      <c r="BPC37" s="704"/>
      <c r="BPD37" s="704"/>
      <c r="BPE37" s="704"/>
      <c r="BPF37" s="704"/>
      <c r="BPG37" s="704"/>
      <c r="BPH37" s="704"/>
      <c r="BPI37" s="704"/>
      <c r="BPJ37" s="704"/>
      <c r="BPK37" s="704"/>
      <c r="BPL37" s="704"/>
      <c r="BPM37" s="704"/>
      <c r="BPN37" s="704"/>
      <c r="BPO37" s="704"/>
      <c r="BPP37" s="704"/>
      <c r="BPQ37" s="704"/>
      <c r="BPR37" s="704"/>
      <c r="BPS37" s="704"/>
      <c r="BPT37" s="704"/>
      <c r="BPU37" s="704"/>
      <c r="BPV37" s="704"/>
      <c r="BPW37" s="704"/>
      <c r="BPX37" s="704"/>
      <c r="BPY37" s="704"/>
      <c r="BPZ37" s="704"/>
      <c r="BQA37" s="704"/>
      <c r="BQB37" s="704"/>
      <c r="BQC37" s="704"/>
      <c r="BQD37" s="704"/>
      <c r="BQE37" s="704"/>
      <c r="BQF37" s="704"/>
      <c r="BQG37" s="704"/>
      <c r="BQH37" s="704"/>
      <c r="BQI37" s="704"/>
      <c r="BQJ37" s="704"/>
      <c r="BQK37" s="704"/>
      <c r="BQL37" s="704"/>
      <c r="BQM37" s="704"/>
      <c r="BQN37" s="704"/>
      <c r="BQO37" s="704"/>
      <c r="BQP37" s="704"/>
      <c r="BQQ37" s="704"/>
      <c r="BQR37" s="704"/>
      <c r="BQS37" s="704"/>
      <c r="BQT37" s="704"/>
      <c r="BQU37" s="704"/>
      <c r="BQV37" s="704"/>
      <c r="BQW37" s="704"/>
      <c r="BQX37" s="704"/>
      <c r="BQY37" s="704"/>
      <c r="BQZ37" s="704"/>
      <c r="BRA37" s="704"/>
      <c r="BRB37" s="704"/>
      <c r="BRC37" s="704"/>
      <c r="BRD37" s="704"/>
      <c r="BRE37" s="704"/>
      <c r="BRF37" s="704"/>
      <c r="BRG37" s="704"/>
      <c r="BRH37" s="704"/>
      <c r="BRI37" s="704"/>
      <c r="BRJ37" s="704"/>
      <c r="BRK37" s="704"/>
      <c r="BRL37" s="704"/>
      <c r="BRM37" s="704"/>
      <c r="BRN37" s="704"/>
      <c r="BRO37" s="704"/>
      <c r="BRP37" s="704"/>
      <c r="BRQ37" s="704"/>
      <c r="BRR37" s="704"/>
      <c r="BRS37" s="704"/>
      <c r="BRT37" s="704"/>
      <c r="BRU37" s="704"/>
      <c r="BRV37" s="704"/>
      <c r="BRW37" s="704"/>
      <c r="BRX37" s="704"/>
      <c r="BRY37" s="704"/>
      <c r="BRZ37" s="704"/>
      <c r="BSA37" s="704"/>
      <c r="BSB37" s="704"/>
      <c r="BSC37" s="704"/>
      <c r="BSD37" s="704"/>
      <c r="BSE37" s="704"/>
      <c r="BSF37" s="704"/>
      <c r="BSG37" s="704"/>
      <c r="BSH37" s="704"/>
      <c r="BSI37" s="704"/>
      <c r="BSJ37" s="704"/>
      <c r="BSK37" s="704"/>
      <c r="BSL37" s="704"/>
      <c r="BSM37" s="704"/>
      <c r="BSN37" s="704"/>
      <c r="BSO37" s="704"/>
      <c r="BSP37" s="704"/>
      <c r="BSQ37" s="704"/>
      <c r="BSR37" s="704"/>
      <c r="BSS37" s="704"/>
      <c r="BST37" s="704"/>
      <c r="BSU37" s="704"/>
      <c r="BSV37" s="704"/>
      <c r="BSW37" s="704"/>
      <c r="BSX37" s="704"/>
      <c r="BSY37" s="704"/>
      <c r="BSZ37" s="704"/>
      <c r="BTA37" s="704"/>
      <c r="BTB37" s="704"/>
      <c r="BTC37" s="704"/>
      <c r="BTD37" s="704"/>
      <c r="BTE37" s="704"/>
      <c r="BTF37" s="704"/>
      <c r="BTG37" s="704"/>
      <c r="BTH37" s="704"/>
      <c r="BTI37" s="704"/>
      <c r="BTJ37" s="704"/>
      <c r="BTK37" s="704"/>
      <c r="BTL37" s="704"/>
      <c r="BTM37" s="704"/>
      <c r="BTN37" s="704"/>
      <c r="BTO37" s="704"/>
      <c r="BTP37" s="704"/>
      <c r="BTQ37" s="704"/>
      <c r="BTR37" s="704"/>
      <c r="BTS37" s="704"/>
      <c r="BTT37" s="704"/>
      <c r="BTU37" s="704"/>
      <c r="BTV37" s="704"/>
      <c r="BTW37" s="704"/>
      <c r="BTX37" s="704"/>
      <c r="BTY37" s="704"/>
      <c r="BTZ37" s="704"/>
      <c r="BUA37" s="704"/>
      <c r="BUB37" s="704"/>
      <c r="BUC37" s="704"/>
      <c r="BUD37" s="704"/>
      <c r="BUE37" s="704"/>
      <c r="BUF37" s="704"/>
      <c r="BUG37" s="704"/>
      <c r="BUH37" s="704"/>
      <c r="BUI37" s="704"/>
      <c r="BUJ37" s="704"/>
      <c r="BUK37" s="704"/>
      <c r="BUL37" s="704"/>
      <c r="BUM37" s="704"/>
      <c r="BUN37" s="704"/>
      <c r="BUO37" s="704"/>
      <c r="BUP37" s="704"/>
      <c r="BUQ37" s="704"/>
      <c r="BUR37" s="704"/>
      <c r="BUS37" s="704"/>
      <c r="BUT37" s="704"/>
      <c r="BUU37" s="704"/>
      <c r="BUV37" s="704"/>
      <c r="BUW37" s="704"/>
      <c r="BUX37" s="704"/>
      <c r="BUY37" s="704"/>
      <c r="BUZ37" s="704"/>
      <c r="BVA37" s="704"/>
      <c r="BVB37" s="704"/>
      <c r="BVC37" s="704"/>
      <c r="BVD37" s="704"/>
      <c r="BVE37" s="704"/>
      <c r="BVF37" s="704"/>
      <c r="BVG37" s="704"/>
      <c r="BVH37" s="704"/>
      <c r="BVI37" s="704"/>
      <c r="BVJ37" s="704"/>
      <c r="BVK37" s="704"/>
      <c r="BVL37" s="704"/>
      <c r="BVM37" s="704"/>
      <c r="BVN37" s="704"/>
      <c r="BVO37" s="704"/>
      <c r="BVP37" s="704"/>
      <c r="BVQ37" s="704"/>
      <c r="BVR37" s="704"/>
      <c r="BVS37" s="704"/>
      <c r="BVT37" s="704"/>
      <c r="BVU37" s="704"/>
      <c r="BVV37" s="704"/>
      <c r="BVW37" s="704"/>
      <c r="BVX37" s="704"/>
      <c r="BVY37" s="704"/>
      <c r="BVZ37" s="704"/>
      <c r="BWA37" s="704"/>
      <c r="BWB37" s="704"/>
      <c r="BWC37" s="704"/>
      <c r="BWD37" s="704"/>
      <c r="BWE37" s="704"/>
      <c r="BWF37" s="704"/>
      <c r="BWG37" s="704"/>
      <c r="BWH37" s="704"/>
      <c r="BWI37" s="704"/>
      <c r="BWJ37" s="704"/>
      <c r="BWK37" s="704"/>
      <c r="BWL37" s="704"/>
      <c r="BWM37" s="704"/>
      <c r="BWN37" s="704"/>
      <c r="BWO37" s="704"/>
      <c r="BWP37" s="704"/>
      <c r="BWQ37" s="704"/>
      <c r="BWR37" s="704"/>
      <c r="BWS37" s="704"/>
      <c r="BWT37" s="704"/>
      <c r="BWU37" s="704"/>
      <c r="BWV37" s="704"/>
      <c r="BWW37" s="704"/>
      <c r="BWX37" s="704"/>
      <c r="BWY37" s="704"/>
      <c r="BWZ37" s="704"/>
      <c r="BXA37" s="704"/>
      <c r="BXB37" s="704"/>
      <c r="BXC37" s="704"/>
      <c r="BXD37" s="704"/>
      <c r="BXE37" s="704"/>
      <c r="BXF37" s="704"/>
      <c r="BXG37" s="704"/>
      <c r="BXH37" s="704"/>
      <c r="BXI37" s="704"/>
      <c r="BXJ37" s="704"/>
      <c r="BXK37" s="704"/>
      <c r="BXL37" s="704"/>
      <c r="BXM37" s="704"/>
      <c r="BXN37" s="704"/>
      <c r="BXO37" s="704"/>
      <c r="BXP37" s="704"/>
      <c r="BXQ37" s="704"/>
      <c r="BXR37" s="704"/>
      <c r="BXS37" s="704"/>
      <c r="BXT37" s="704"/>
      <c r="BXU37" s="704"/>
      <c r="BXV37" s="704"/>
      <c r="BXW37" s="704"/>
      <c r="BXX37" s="704"/>
      <c r="BXY37" s="704"/>
      <c r="BXZ37" s="704"/>
      <c r="BYA37" s="704"/>
      <c r="BYB37" s="704"/>
      <c r="BYC37" s="704"/>
      <c r="BYD37" s="704"/>
      <c r="BYE37" s="704"/>
      <c r="BYF37" s="704"/>
      <c r="BYG37" s="704"/>
      <c r="BYH37" s="704"/>
      <c r="BYI37" s="704"/>
      <c r="BYJ37" s="704"/>
      <c r="BYK37" s="704"/>
      <c r="BYL37" s="704"/>
      <c r="BYM37" s="704"/>
      <c r="BYN37" s="704"/>
      <c r="BYO37" s="704"/>
      <c r="BYP37" s="704"/>
      <c r="BYQ37" s="704"/>
      <c r="BYR37" s="704"/>
      <c r="BYS37" s="704"/>
      <c r="BYT37" s="704"/>
      <c r="BYU37" s="704"/>
      <c r="BYV37" s="704"/>
      <c r="BYW37" s="704"/>
      <c r="BYX37" s="704"/>
      <c r="BYY37" s="704"/>
      <c r="BYZ37" s="704"/>
      <c r="BZA37" s="704"/>
      <c r="BZB37" s="704"/>
      <c r="BZC37" s="704"/>
      <c r="BZD37" s="704"/>
      <c r="BZE37" s="704"/>
      <c r="BZF37" s="704"/>
      <c r="BZG37" s="704"/>
      <c r="BZH37" s="704"/>
      <c r="BZI37" s="704"/>
      <c r="BZJ37" s="704"/>
      <c r="BZK37" s="704"/>
      <c r="BZL37" s="704"/>
      <c r="BZM37" s="704"/>
      <c r="BZN37" s="704"/>
      <c r="BZO37" s="704"/>
      <c r="BZP37" s="704"/>
      <c r="BZQ37" s="704"/>
      <c r="BZR37" s="704"/>
      <c r="BZS37" s="704"/>
      <c r="BZT37" s="704"/>
      <c r="BZU37" s="704"/>
      <c r="BZV37" s="704"/>
      <c r="BZW37" s="704"/>
      <c r="BZX37" s="704"/>
      <c r="BZY37" s="704"/>
      <c r="BZZ37" s="704"/>
      <c r="CAA37" s="704"/>
      <c r="CAB37" s="704"/>
      <c r="CAC37" s="704"/>
      <c r="CAD37" s="704"/>
      <c r="CAE37" s="704"/>
      <c r="CAF37" s="704"/>
      <c r="CAG37" s="704"/>
      <c r="CAH37" s="704"/>
      <c r="CAI37" s="704"/>
      <c r="CAJ37" s="704"/>
      <c r="CAK37" s="704"/>
      <c r="CAL37" s="704"/>
      <c r="CAM37" s="704"/>
      <c r="CAN37" s="704"/>
      <c r="CAO37" s="704"/>
      <c r="CAP37" s="704"/>
      <c r="CAQ37" s="704"/>
      <c r="CAR37" s="704"/>
      <c r="CAS37" s="704"/>
      <c r="CAT37" s="704"/>
      <c r="CAU37" s="704"/>
      <c r="CAV37" s="704"/>
      <c r="CAW37" s="704"/>
      <c r="CAX37" s="704"/>
      <c r="CAY37" s="704"/>
      <c r="CAZ37" s="704"/>
      <c r="CBA37" s="704"/>
      <c r="CBB37" s="704"/>
      <c r="CBC37" s="704"/>
      <c r="CBD37" s="704"/>
      <c r="CBE37" s="704"/>
      <c r="CBF37" s="704"/>
      <c r="CBG37" s="704"/>
      <c r="CBH37" s="704"/>
      <c r="CBI37" s="704"/>
      <c r="CBJ37" s="704"/>
      <c r="CBK37" s="704"/>
      <c r="CBL37" s="704"/>
      <c r="CBM37" s="704"/>
      <c r="CBN37" s="704"/>
      <c r="CBO37" s="704"/>
      <c r="CBP37" s="704"/>
      <c r="CBQ37" s="704"/>
      <c r="CBR37" s="704"/>
      <c r="CBS37" s="704"/>
      <c r="CBT37" s="704"/>
      <c r="CBU37" s="704"/>
      <c r="CBV37" s="704"/>
      <c r="CBW37" s="704"/>
      <c r="CBX37" s="704"/>
      <c r="CBY37" s="704"/>
      <c r="CBZ37" s="704"/>
      <c r="CCA37" s="704"/>
      <c r="CCB37" s="704"/>
      <c r="CCC37" s="704"/>
      <c r="CCD37" s="704"/>
      <c r="CCE37" s="704"/>
      <c r="CCF37" s="704"/>
      <c r="CCG37" s="704"/>
      <c r="CCH37" s="704"/>
      <c r="CCI37" s="704"/>
      <c r="CCJ37" s="704"/>
      <c r="CCK37" s="704"/>
      <c r="CCL37" s="704"/>
      <c r="CCM37" s="704"/>
      <c r="CCN37" s="704"/>
      <c r="CCO37" s="704"/>
      <c r="CCP37" s="704"/>
      <c r="CCQ37" s="704"/>
      <c r="CCR37" s="704"/>
      <c r="CCS37" s="704"/>
      <c r="CCT37" s="704"/>
      <c r="CCU37" s="704"/>
      <c r="CCV37" s="704"/>
      <c r="CCW37" s="704"/>
      <c r="CCX37" s="704"/>
      <c r="CCY37" s="704"/>
      <c r="CCZ37" s="704"/>
      <c r="CDA37" s="704"/>
      <c r="CDB37" s="704"/>
      <c r="CDC37" s="704"/>
      <c r="CDD37" s="704"/>
      <c r="CDE37" s="704"/>
      <c r="CDF37" s="704"/>
      <c r="CDG37" s="704"/>
      <c r="CDH37" s="704"/>
      <c r="CDI37" s="704"/>
      <c r="CDJ37" s="704"/>
      <c r="CDK37" s="704"/>
      <c r="CDL37" s="704"/>
      <c r="CDM37" s="704"/>
      <c r="CDN37" s="704"/>
      <c r="CDO37" s="704"/>
      <c r="CDP37" s="704"/>
      <c r="CDQ37" s="704"/>
      <c r="CDR37" s="704"/>
      <c r="CDS37" s="704"/>
      <c r="CDT37" s="704"/>
      <c r="CDU37" s="704"/>
      <c r="CDV37" s="704"/>
      <c r="CDW37" s="704"/>
      <c r="CDX37" s="704"/>
      <c r="CDY37" s="704"/>
      <c r="CDZ37" s="704"/>
      <c r="CEA37" s="704"/>
      <c r="CEB37" s="704"/>
      <c r="CEC37" s="704"/>
      <c r="CED37" s="704"/>
      <c r="CEE37" s="704"/>
      <c r="CEF37" s="704"/>
      <c r="CEG37" s="704"/>
      <c r="CEH37" s="704"/>
      <c r="CEI37" s="704"/>
      <c r="CEJ37" s="704"/>
      <c r="CEK37" s="704"/>
      <c r="CEL37" s="704"/>
      <c r="CEM37" s="704"/>
      <c r="CEN37" s="704"/>
      <c r="CEO37" s="704"/>
      <c r="CEP37" s="704"/>
      <c r="CEQ37" s="704"/>
      <c r="CER37" s="704"/>
      <c r="CES37" s="704"/>
      <c r="CET37" s="704"/>
      <c r="CEU37" s="704"/>
      <c r="CEV37" s="704"/>
      <c r="CEW37" s="704"/>
      <c r="CEX37" s="704"/>
      <c r="CEY37" s="704"/>
      <c r="CEZ37" s="704"/>
      <c r="CFA37" s="704"/>
      <c r="CFB37" s="704"/>
      <c r="CFC37" s="704"/>
      <c r="CFD37" s="704"/>
      <c r="CFE37" s="704"/>
      <c r="CFF37" s="704"/>
      <c r="CFG37" s="704"/>
      <c r="CFH37" s="704"/>
      <c r="CFI37" s="704"/>
      <c r="CFJ37" s="704"/>
      <c r="CFK37" s="704"/>
      <c r="CFL37" s="704"/>
      <c r="CFM37" s="704"/>
      <c r="CFN37" s="704"/>
      <c r="CFO37" s="704"/>
      <c r="CFP37" s="704"/>
      <c r="CFQ37" s="704"/>
      <c r="CFR37" s="704"/>
      <c r="CFS37" s="704"/>
      <c r="CFT37" s="704"/>
      <c r="CFU37" s="704"/>
      <c r="CFV37" s="704"/>
      <c r="CFW37" s="704"/>
      <c r="CFX37" s="704"/>
      <c r="CFY37" s="704"/>
      <c r="CFZ37" s="704"/>
      <c r="CGA37" s="704"/>
      <c r="CGB37" s="704"/>
      <c r="CGC37" s="704"/>
      <c r="CGD37" s="704"/>
      <c r="CGE37" s="704"/>
      <c r="CGF37" s="704"/>
      <c r="CGG37" s="704"/>
      <c r="CGH37" s="704"/>
      <c r="CGI37" s="704"/>
      <c r="CGJ37" s="704"/>
      <c r="CGK37" s="704"/>
      <c r="CGL37" s="704"/>
      <c r="CGM37" s="704"/>
      <c r="CGN37" s="704"/>
      <c r="CGO37" s="704"/>
      <c r="CGP37" s="704"/>
      <c r="CGQ37" s="704"/>
      <c r="CGR37" s="704"/>
      <c r="CGS37" s="704"/>
      <c r="CGT37" s="704"/>
      <c r="CGU37" s="704"/>
      <c r="CGV37" s="704"/>
      <c r="CGW37" s="704"/>
      <c r="CGX37" s="704"/>
      <c r="CGY37" s="704"/>
      <c r="CGZ37" s="704"/>
      <c r="CHA37" s="704"/>
      <c r="CHB37" s="704"/>
      <c r="CHC37" s="704"/>
      <c r="CHD37" s="704"/>
      <c r="CHE37" s="704"/>
      <c r="CHF37" s="704"/>
      <c r="CHG37" s="704"/>
      <c r="CHH37" s="704"/>
      <c r="CHI37" s="704"/>
      <c r="CHJ37" s="704"/>
      <c r="CHK37" s="704"/>
      <c r="CHL37" s="704"/>
      <c r="CHM37" s="704"/>
      <c r="CHN37" s="704"/>
      <c r="CHO37" s="704"/>
      <c r="CHP37" s="704"/>
      <c r="CHQ37" s="704"/>
      <c r="CHR37" s="704"/>
      <c r="CHS37" s="704"/>
      <c r="CHT37" s="704"/>
      <c r="CHU37" s="704"/>
      <c r="CHV37" s="704"/>
      <c r="CHW37" s="704"/>
      <c r="CHX37" s="704"/>
      <c r="CHY37" s="704"/>
      <c r="CHZ37" s="704"/>
      <c r="CIA37" s="704"/>
      <c r="CIB37" s="704"/>
      <c r="CIC37" s="704"/>
      <c r="CID37" s="704"/>
      <c r="CIE37" s="704"/>
      <c r="CIF37" s="704"/>
      <c r="CIG37" s="704"/>
      <c r="CIH37" s="704"/>
      <c r="CII37" s="704"/>
      <c r="CIJ37" s="704"/>
      <c r="CIK37" s="704"/>
      <c r="CIL37" s="704"/>
      <c r="CIM37" s="704"/>
      <c r="CIN37" s="704"/>
      <c r="CIO37" s="704"/>
      <c r="CIP37" s="704"/>
      <c r="CIQ37" s="704"/>
      <c r="CIR37" s="704"/>
      <c r="CIS37" s="704"/>
      <c r="CIT37" s="704"/>
      <c r="CIU37" s="704"/>
      <c r="CIV37" s="704"/>
      <c r="CIW37" s="704"/>
      <c r="CIX37" s="704"/>
      <c r="CIY37" s="704"/>
      <c r="CIZ37" s="704"/>
      <c r="CJA37" s="704"/>
      <c r="CJB37" s="704"/>
      <c r="CJC37" s="704"/>
      <c r="CJD37" s="704"/>
      <c r="CJE37" s="704"/>
      <c r="CJF37" s="704"/>
      <c r="CJG37" s="704"/>
      <c r="CJH37" s="704"/>
      <c r="CJI37" s="704"/>
      <c r="CJJ37" s="704"/>
      <c r="CJK37" s="704"/>
      <c r="CJL37" s="704"/>
      <c r="CJM37" s="704"/>
      <c r="CJN37" s="704"/>
      <c r="CJO37" s="704"/>
      <c r="CJP37" s="704"/>
      <c r="CJQ37" s="704"/>
      <c r="CJR37" s="704"/>
      <c r="CJS37" s="704"/>
      <c r="CJT37" s="704"/>
      <c r="CJU37" s="704"/>
      <c r="CJV37" s="704"/>
      <c r="CJW37" s="704"/>
      <c r="CJX37" s="704"/>
      <c r="CJY37" s="704"/>
      <c r="CJZ37" s="704"/>
      <c r="CKA37" s="704"/>
      <c r="CKB37" s="704"/>
      <c r="CKC37" s="704"/>
      <c r="CKD37" s="704"/>
      <c r="CKE37" s="704"/>
      <c r="CKF37" s="704"/>
      <c r="CKG37" s="704"/>
      <c r="CKH37" s="704"/>
      <c r="CKI37" s="704"/>
      <c r="CKJ37" s="704"/>
      <c r="CKK37" s="704"/>
      <c r="CKL37" s="704"/>
      <c r="CKM37" s="704"/>
      <c r="CKN37" s="704"/>
      <c r="CKO37" s="704"/>
      <c r="CKP37" s="704"/>
      <c r="CKQ37" s="704"/>
      <c r="CKR37" s="704"/>
      <c r="CKS37" s="704"/>
      <c r="CKT37" s="704"/>
      <c r="CKU37" s="704"/>
      <c r="CKV37" s="704"/>
      <c r="CKW37" s="704"/>
      <c r="CKX37" s="704"/>
      <c r="CKY37" s="704"/>
      <c r="CKZ37" s="704"/>
      <c r="CLA37" s="704"/>
      <c r="CLB37" s="704"/>
      <c r="CLC37" s="704"/>
      <c r="CLD37" s="704"/>
      <c r="CLE37" s="704"/>
      <c r="CLF37" s="704"/>
      <c r="CLG37" s="704"/>
      <c r="CLH37" s="704"/>
      <c r="CLI37" s="704"/>
      <c r="CLJ37" s="704"/>
      <c r="CLK37" s="704"/>
      <c r="CLL37" s="704"/>
      <c r="CLM37" s="704"/>
      <c r="CLN37" s="704"/>
      <c r="CLO37" s="704"/>
      <c r="CLP37" s="704"/>
      <c r="CLQ37" s="704"/>
      <c r="CLR37" s="704"/>
      <c r="CLS37" s="704"/>
      <c r="CLT37" s="704"/>
      <c r="CLU37" s="704"/>
      <c r="CLV37" s="704"/>
      <c r="CLW37" s="704"/>
      <c r="CLX37" s="704"/>
      <c r="CLY37" s="704"/>
      <c r="CLZ37" s="704"/>
      <c r="CMA37" s="704"/>
      <c r="CMB37" s="704"/>
      <c r="CMC37" s="704"/>
      <c r="CMD37" s="704"/>
      <c r="CME37" s="704"/>
      <c r="CMF37" s="704"/>
      <c r="CMG37" s="704"/>
      <c r="CMH37" s="704"/>
      <c r="CMI37" s="704"/>
      <c r="CMJ37" s="704"/>
      <c r="CMK37" s="704"/>
      <c r="CML37" s="704"/>
      <c r="CMM37" s="704"/>
      <c r="CMN37" s="704"/>
      <c r="CMO37" s="704"/>
      <c r="CMP37" s="704"/>
      <c r="CMQ37" s="704"/>
      <c r="CMR37" s="704"/>
      <c r="CMS37" s="704"/>
      <c r="CMT37" s="704"/>
      <c r="CMU37" s="704"/>
      <c r="CMV37" s="704"/>
      <c r="CMW37" s="704"/>
      <c r="CMX37" s="704"/>
      <c r="CMY37" s="704"/>
      <c r="CMZ37" s="704"/>
      <c r="CNA37" s="704"/>
      <c r="CNB37" s="704"/>
      <c r="CNC37" s="704"/>
      <c r="CND37" s="704"/>
      <c r="CNE37" s="704"/>
      <c r="CNF37" s="704"/>
      <c r="CNG37" s="704"/>
      <c r="CNH37" s="704"/>
      <c r="CNI37" s="704"/>
      <c r="CNJ37" s="704"/>
      <c r="CNK37" s="704"/>
      <c r="CNL37" s="704"/>
      <c r="CNM37" s="704"/>
      <c r="CNN37" s="704"/>
      <c r="CNO37" s="704"/>
      <c r="CNP37" s="704"/>
      <c r="CNQ37" s="704"/>
      <c r="CNR37" s="704"/>
      <c r="CNS37" s="704"/>
      <c r="CNT37" s="704"/>
      <c r="CNU37" s="704"/>
      <c r="CNV37" s="704"/>
      <c r="CNW37" s="704"/>
      <c r="CNX37" s="704"/>
      <c r="CNY37" s="704"/>
      <c r="CNZ37" s="704"/>
      <c r="COA37" s="704"/>
      <c r="COB37" s="704"/>
      <c r="COC37" s="704"/>
      <c r="COD37" s="704"/>
      <c r="COE37" s="704"/>
      <c r="COF37" s="704"/>
      <c r="COG37" s="704"/>
      <c r="COH37" s="704"/>
      <c r="COI37" s="704"/>
      <c r="COJ37" s="704"/>
      <c r="COK37" s="704"/>
      <c r="COL37" s="704"/>
      <c r="COM37" s="704"/>
      <c r="CON37" s="704"/>
      <c r="COO37" s="704"/>
      <c r="COP37" s="704"/>
      <c r="COQ37" s="704"/>
      <c r="COR37" s="704"/>
      <c r="COS37" s="704"/>
      <c r="COT37" s="704"/>
      <c r="COU37" s="704"/>
      <c r="COV37" s="704"/>
      <c r="COW37" s="704"/>
      <c r="COX37" s="704"/>
      <c r="COY37" s="704"/>
      <c r="COZ37" s="704"/>
      <c r="CPA37" s="704"/>
      <c r="CPB37" s="704"/>
      <c r="CPC37" s="704"/>
      <c r="CPD37" s="704"/>
      <c r="CPE37" s="704"/>
      <c r="CPF37" s="704"/>
      <c r="CPG37" s="704"/>
      <c r="CPH37" s="704"/>
      <c r="CPI37" s="704"/>
      <c r="CPJ37" s="704"/>
      <c r="CPK37" s="704"/>
      <c r="CPL37" s="704"/>
      <c r="CPM37" s="704"/>
      <c r="CPN37" s="704"/>
      <c r="CPO37" s="704"/>
      <c r="CPP37" s="704"/>
      <c r="CPQ37" s="704"/>
      <c r="CPR37" s="704"/>
      <c r="CPS37" s="704"/>
      <c r="CPT37" s="704"/>
      <c r="CPU37" s="704"/>
      <c r="CPV37" s="704"/>
      <c r="CPW37" s="704"/>
      <c r="CPX37" s="704"/>
      <c r="CPY37" s="704"/>
      <c r="CPZ37" s="704"/>
      <c r="CQA37" s="704"/>
      <c r="CQB37" s="704"/>
      <c r="CQC37" s="704"/>
      <c r="CQD37" s="704"/>
      <c r="CQE37" s="704"/>
      <c r="CQF37" s="704"/>
      <c r="CQG37" s="704"/>
      <c r="CQH37" s="704"/>
      <c r="CQI37" s="704"/>
      <c r="CQJ37" s="704"/>
      <c r="CQK37" s="704"/>
      <c r="CQL37" s="704"/>
      <c r="CQM37" s="704"/>
      <c r="CQN37" s="704"/>
      <c r="CQO37" s="704"/>
      <c r="CQP37" s="704"/>
      <c r="CQQ37" s="704"/>
      <c r="CQR37" s="704"/>
      <c r="CQS37" s="704"/>
      <c r="CQT37" s="704"/>
      <c r="CQU37" s="704"/>
      <c r="CQV37" s="704"/>
      <c r="CQW37" s="704"/>
      <c r="CQX37" s="704"/>
      <c r="CQY37" s="704"/>
      <c r="CQZ37" s="704"/>
      <c r="CRA37" s="704"/>
      <c r="CRB37" s="704"/>
      <c r="CRC37" s="704"/>
      <c r="CRD37" s="704"/>
      <c r="CRE37" s="704"/>
      <c r="CRF37" s="704"/>
      <c r="CRG37" s="704"/>
      <c r="CRH37" s="704"/>
      <c r="CRI37" s="704"/>
      <c r="CRJ37" s="704"/>
      <c r="CRK37" s="704"/>
      <c r="CRL37" s="704"/>
      <c r="CRM37" s="704"/>
      <c r="CRN37" s="704"/>
      <c r="CRO37" s="704"/>
      <c r="CRP37" s="704"/>
      <c r="CRQ37" s="704"/>
      <c r="CRR37" s="704"/>
      <c r="CRS37" s="704"/>
      <c r="CRT37" s="704"/>
      <c r="CRU37" s="704"/>
      <c r="CRV37" s="704"/>
      <c r="CRW37" s="704"/>
      <c r="CRX37" s="704"/>
      <c r="CRY37" s="704"/>
      <c r="CRZ37" s="704"/>
      <c r="CSA37" s="704"/>
      <c r="CSB37" s="704"/>
      <c r="CSC37" s="704"/>
      <c r="CSD37" s="704"/>
      <c r="CSE37" s="704"/>
      <c r="CSF37" s="704"/>
      <c r="CSG37" s="704"/>
      <c r="CSH37" s="704"/>
      <c r="CSI37" s="704"/>
      <c r="CSJ37" s="704"/>
      <c r="CSK37" s="704"/>
      <c r="CSL37" s="704"/>
      <c r="CSM37" s="704"/>
      <c r="CSN37" s="704"/>
      <c r="CSO37" s="704"/>
      <c r="CSP37" s="704"/>
      <c r="CSQ37" s="704"/>
      <c r="CSR37" s="704"/>
      <c r="CSS37" s="704"/>
      <c r="CST37" s="704"/>
      <c r="CSU37" s="704"/>
      <c r="CSV37" s="704"/>
      <c r="CSW37" s="704"/>
      <c r="CSX37" s="704"/>
      <c r="CSY37" s="704"/>
      <c r="CSZ37" s="704"/>
      <c r="CTA37" s="704"/>
      <c r="CTB37" s="704"/>
      <c r="CTC37" s="704"/>
      <c r="CTD37" s="704"/>
      <c r="CTE37" s="704"/>
      <c r="CTF37" s="704"/>
      <c r="CTG37" s="704"/>
      <c r="CTH37" s="704"/>
      <c r="CTI37" s="704"/>
      <c r="CTJ37" s="704"/>
      <c r="CTK37" s="704"/>
      <c r="CTL37" s="704"/>
      <c r="CTM37" s="704"/>
      <c r="CTN37" s="704"/>
      <c r="CTO37" s="704"/>
      <c r="CTP37" s="704"/>
      <c r="CTQ37" s="704"/>
      <c r="CTR37" s="704"/>
      <c r="CTS37" s="704"/>
      <c r="CTT37" s="704"/>
      <c r="CTU37" s="704"/>
      <c r="CTV37" s="704"/>
      <c r="CTW37" s="704"/>
      <c r="CTX37" s="704"/>
      <c r="CTY37" s="704"/>
      <c r="CTZ37" s="704"/>
      <c r="CUA37" s="704"/>
      <c r="CUB37" s="704"/>
      <c r="CUC37" s="704"/>
      <c r="CUD37" s="704"/>
      <c r="CUE37" s="704"/>
      <c r="CUF37" s="704"/>
      <c r="CUG37" s="704"/>
      <c r="CUH37" s="704"/>
      <c r="CUI37" s="704"/>
      <c r="CUJ37" s="704"/>
      <c r="CUK37" s="704"/>
      <c r="CUL37" s="704"/>
      <c r="CUM37" s="704"/>
      <c r="CUN37" s="704"/>
      <c r="CUO37" s="704"/>
      <c r="CUP37" s="704"/>
      <c r="CUQ37" s="704"/>
      <c r="CUR37" s="704"/>
      <c r="CUS37" s="704"/>
      <c r="CUT37" s="704"/>
      <c r="CUU37" s="704"/>
      <c r="CUV37" s="704"/>
      <c r="CUW37" s="704"/>
      <c r="CUX37" s="704"/>
      <c r="CUY37" s="704"/>
      <c r="CUZ37" s="704"/>
      <c r="CVA37" s="704"/>
      <c r="CVB37" s="704"/>
      <c r="CVC37" s="704"/>
      <c r="CVD37" s="704"/>
      <c r="CVE37" s="704"/>
      <c r="CVF37" s="704"/>
      <c r="CVG37" s="704"/>
      <c r="CVH37" s="704"/>
      <c r="CVI37" s="704"/>
      <c r="CVJ37" s="704"/>
      <c r="CVK37" s="704"/>
      <c r="CVL37" s="704"/>
      <c r="CVM37" s="704"/>
      <c r="CVN37" s="704"/>
      <c r="CVO37" s="704"/>
      <c r="CVP37" s="704"/>
      <c r="CVQ37" s="704"/>
      <c r="CVR37" s="704"/>
      <c r="CVS37" s="704"/>
      <c r="CVT37" s="704"/>
      <c r="CVU37" s="704"/>
      <c r="CVV37" s="704"/>
      <c r="CVW37" s="704"/>
      <c r="CVX37" s="704"/>
      <c r="CVY37" s="704"/>
      <c r="CVZ37" s="704"/>
      <c r="CWA37" s="704"/>
      <c r="CWB37" s="704"/>
      <c r="CWC37" s="704"/>
      <c r="CWD37" s="704"/>
      <c r="CWE37" s="704"/>
      <c r="CWF37" s="704"/>
      <c r="CWG37" s="704"/>
      <c r="CWH37" s="704"/>
      <c r="CWI37" s="704"/>
      <c r="CWJ37" s="704"/>
      <c r="CWK37" s="704"/>
      <c r="CWL37" s="704"/>
      <c r="CWM37" s="704"/>
      <c r="CWN37" s="704"/>
      <c r="CWO37" s="704"/>
      <c r="CWP37" s="704"/>
      <c r="CWQ37" s="704"/>
      <c r="CWR37" s="704"/>
      <c r="CWS37" s="704"/>
      <c r="CWT37" s="704"/>
      <c r="CWU37" s="704"/>
      <c r="CWV37" s="704"/>
      <c r="CWW37" s="704"/>
      <c r="CWX37" s="704"/>
      <c r="CWY37" s="704"/>
      <c r="CWZ37" s="704"/>
      <c r="CXA37" s="704"/>
      <c r="CXB37" s="704"/>
      <c r="CXC37" s="704"/>
      <c r="CXD37" s="704"/>
      <c r="CXE37" s="704"/>
      <c r="CXF37" s="704"/>
      <c r="CXG37" s="704"/>
      <c r="CXH37" s="704"/>
      <c r="CXI37" s="704"/>
      <c r="CXJ37" s="704"/>
      <c r="CXK37" s="704"/>
      <c r="CXL37" s="704"/>
      <c r="CXM37" s="704"/>
      <c r="CXN37" s="704"/>
      <c r="CXO37" s="704"/>
      <c r="CXP37" s="704"/>
      <c r="CXQ37" s="704"/>
      <c r="CXR37" s="704"/>
      <c r="CXS37" s="704"/>
      <c r="CXT37" s="704"/>
      <c r="CXU37" s="704"/>
      <c r="CXV37" s="704"/>
      <c r="CXW37" s="704"/>
      <c r="CXX37" s="704"/>
      <c r="CXY37" s="704"/>
      <c r="CXZ37" s="704"/>
      <c r="CYA37" s="704"/>
      <c r="CYB37" s="704"/>
      <c r="CYC37" s="704"/>
      <c r="CYD37" s="704"/>
      <c r="CYE37" s="704"/>
      <c r="CYF37" s="704"/>
      <c r="CYG37" s="704"/>
      <c r="CYH37" s="704"/>
      <c r="CYI37" s="704"/>
      <c r="CYJ37" s="704"/>
      <c r="CYK37" s="704"/>
      <c r="CYL37" s="704"/>
      <c r="CYM37" s="704"/>
      <c r="CYN37" s="704"/>
      <c r="CYO37" s="704"/>
      <c r="CYP37" s="704"/>
      <c r="CYQ37" s="704"/>
      <c r="CYR37" s="704"/>
      <c r="CYS37" s="704"/>
      <c r="CYT37" s="704"/>
      <c r="CYU37" s="704"/>
      <c r="CYV37" s="704"/>
      <c r="CYW37" s="704"/>
      <c r="CYX37" s="704"/>
      <c r="CYY37" s="704"/>
      <c r="CYZ37" s="704"/>
      <c r="CZA37" s="704"/>
      <c r="CZB37" s="704"/>
      <c r="CZC37" s="704"/>
      <c r="CZD37" s="704"/>
      <c r="CZE37" s="704"/>
      <c r="CZF37" s="704"/>
      <c r="CZG37" s="704"/>
      <c r="CZH37" s="704"/>
      <c r="CZI37" s="704"/>
      <c r="CZJ37" s="704"/>
      <c r="CZK37" s="704"/>
      <c r="CZL37" s="704"/>
      <c r="CZM37" s="704"/>
      <c r="CZN37" s="704"/>
      <c r="CZO37" s="704"/>
      <c r="CZP37" s="704"/>
      <c r="CZQ37" s="704"/>
      <c r="CZR37" s="704"/>
      <c r="CZS37" s="704"/>
      <c r="CZT37" s="704"/>
      <c r="CZU37" s="704"/>
      <c r="CZV37" s="704"/>
      <c r="CZW37" s="704"/>
      <c r="CZX37" s="704"/>
      <c r="CZY37" s="704"/>
      <c r="CZZ37" s="704"/>
      <c r="DAA37" s="704"/>
      <c r="DAB37" s="704"/>
      <c r="DAC37" s="704"/>
      <c r="DAD37" s="704"/>
      <c r="DAE37" s="704"/>
      <c r="DAF37" s="704"/>
      <c r="DAG37" s="704"/>
      <c r="DAH37" s="704"/>
      <c r="DAI37" s="704"/>
      <c r="DAJ37" s="704"/>
      <c r="DAK37" s="704"/>
      <c r="DAL37" s="704"/>
      <c r="DAM37" s="704"/>
      <c r="DAN37" s="704"/>
      <c r="DAO37" s="704"/>
      <c r="DAP37" s="704"/>
      <c r="DAQ37" s="704"/>
      <c r="DAR37" s="704"/>
      <c r="DAS37" s="704"/>
      <c r="DAT37" s="704"/>
      <c r="DAU37" s="704"/>
      <c r="DAV37" s="704"/>
      <c r="DAW37" s="704"/>
      <c r="DAX37" s="704"/>
      <c r="DAY37" s="704"/>
      <c r="DAZ37" s="704"/>
      <c r="DBA37" s="704"/>
      <c r="DBB37" s="704"/>
      <c r="DBC37" s="704"/>
      <c r="DBD37" s="704"/>
      <c r="DBE37" s="704"/>
      <c r="DBF37" s="704"/>
      <c r="DBG37" s="704"/>
      <c r="DBH37" s="704"/>
      <c r="DBI37" s="704"/>
      <c r="DBJ37" s="704"/>
      <c r="DBK37" s="704"/>
      <c r="DBL37" s="704"/>
      <c r="DBM37" s="704"/>
      <c r="DBN37" s="704"/>
      <c r="DBO37" s="704"/>
      <c r="DBP37" s="704"/>
      <c r="DBQ37" s="704"/>
      <c r="DBR37" s="704"/>
      <c r="DBS37" s="704"/>
      <c r="DBT37" s="704"/>
      <c r="DBU37" s="704"/>
      <c r="DBV37" s="704"/>
      <c r="DBW37" s="704"/>
      <c r="DBX37" s="704"/>
      <c r="DBY37" s="704"/>
      <c r="DBZ37" s="704"/>
      <c r="DCA37" s="704"/>
      <c r="DCB37" s="704"/>
      <c r="DCC37" s="704"/>
      <c r="DCD37" s="704"/>
      <c r="DCE37" s="704"/>
      <c r="DCF37" s="704"/>
      <c r="DCG37" s="704"/>
      <c r="DCH37" s="704"/>
      <c r="DCI37" s="704"/>
      <c r="DCJ37" s="704"/>
      <c r="DCK37" s="704"/>
      <c r="DCL37" s="704"/>
      <c r="DCM37" s="704"/>
      <c r="DCN37" s="704"/>
      <c r="DCO37" s="704"/>
      <c r="DCP37" s="704"/>
      <c r="DCQ37" s="704"/>
      <c r="DCR37" s="704"/>
      <c r="DCS37" s="704"/>
      <c r="DCT37" s="704"/>
      <c r="DCU37" s="704"/>
      <c r="DCV37" s="704"/>
      <c r="DCW37" s="704"/>
      <c r="DCX37" s="704"/>
      <c r="DCY37" s="704"/>
      <c r="DCZ37" s="704"/>
      <c r="DDA37" s="704"/>
      <c r="DDB37" s="704"/>
      <c r="DDC37" s="704"/>
      <c r="DDD37" s="704"/>
      <c r="DDE37" s="704"/>
      <c r="DDF37" s="704"/>
      <c r="DDG37" s="704"/>
      <c r="DDH37" s="704"/>
      <c r="DDI37" s="704"/>
      <c r="DDJ37" s="704"/>
      <c r="DDK37" s="704"/>
      <c r="DDL37" s="704"/>
      <c r="DDM37" s="704"/>
      <c r="DDN37" s="704"/>
      <c r="DDO37" s="704"/>
      <c r="DDP37" s="704"/>
      <c r="DDQ37" s="704"/>
      <c r="DDR37" s="704"/>
      <c r="DDS37" s="704"/>
      <c r="DDT37" s="704"/>
      <c r="DDU37" s="704"/>
      <c r="DDV37" s="704"/>
      <c r="DDW37" s="704"/>
      <c r="DDX37" s="704"/>
      <c r="DDY37" s="704"/>
      <c r="DDZ37" s="704"/>
      <c r="DEA37" s="704"/>
      <c r="DEB37" s="704"/>
      <c r="DEC37" s="704"/>
      <c r="DED37" s="704"/>
      <c r="DEE37" s="704"/>
      <c r="DEF37" s="704"/>
      <c r="DEG37" s="704"/>
      <c r="DEH37" s="704"/>
      <c r="DEI37" s="704"/>
      <c r="DEJ37" s="704"/>
      <c r="DEK37" s="704"/>
      <c r="DEL37" s="704"/>
      <c r="DEM37" s="704"/>
      <c r="DEN37" s="704"/>
      <c r="DEO37" s="704"/>
      <c r="DEP37" s="704"/>
      <c r="DEQ37" s="704"/>
      <c r="DER37" s="704"/>
      <c r="DES37" s="704"/>
      <c r="DET37" s="704"/>
      <c r="DEU37" s="704"/>
      <c r="DEV37" s="704"/>
      <c r="DEW37" s="704"/>
      <c r="DEX37" s="704"/>
      <c r="DEY37" s="704"/>
      <c r="DEZ37" s="704"/>
      <c r="DFA37" s="704"/>
      <c r="DFB37" s="704"/>
      <c r="DFC37" s="704"/>
      <c r="DFD37" s="704"/>
      <c r="DFE37" s="704"/>
      <c r="DFF37" s="704"/>
      <c r="DFG37" s="704"/>
      <c r="DFH37" s="704"/>
      <c r="DFI37" s="704"/>
      <c r="DFJ37" s="704"/>
      <c r="DFK37" s="704"/>
      <c r="DFL37" s="704"/>
      <c r="DFM37" s="704"/>
      <c r="DFN37" s="704"/>
      <c r="DFO37" s="704"/>
      <c r="DFP37" s="704"/>
      <c r="DFQ37" s="704"/>
      <c r="DFR37" s="704"/>
      <c r="DFS37" s="704"/>
      <c r="DFT37" s="704"/>
      <c r="DFU37" s="704"/>
      <c r="DFV37" s="704"/>
      <c r="DFW37" s="704"/>
      <c r="DFX37" s="704"/>
      <c r="DFY37" s="704"/>
      <c r="DFZ37" s="704"/>
      <c r="DGA37" s="704"/>
      <c r="DGB37" s="704"/>
      <c r="DGC37" s="704"/>
      <c r="DGD37" s="704"/>
      <c r="DGE37" s="704"/>
      <c r="DGF37" s="704"/>
      <c r="DGG37" s="704"/>
      <c r="DGH37" s="704"/>
      <c r="DGI37" s="704"/>
      <c r="DGJ37" s="704"/>
      <c r="DGK37" s="704"/>
      <c r="DGL37" s="704"/>
      <c r="DGM37" s="704"/>
      <c r="DGN37" s="704"/>
      <c r="DGO37" s="704"/>
      <c r="DGP37" s="704"/>
      <c r="DGQ37" s="704"/>
      <c r="DGR37" s="704"/>
      <c r="DGS37" s="704"/>
      <c r="DGT37" s="704"/>
      <c r="DGU37" s="704"/>
      <c r="DGV37" s="704"/>
      <c r="DGW37" s="704"/>
      <c r="DGX37" s="704"/>
      <c r="DGY37" s="704"/>
      <c r="DGZ37" s="704"/>
      <c r="DHA37" s="704"/>
      <c r="DHB37" s="704"/>
      <c r="DHC37" s="704"/>
      <c r="DHD37" s="704"/>
      <c r="DHE37" s="704"/>
      <c r="DHF37" s="704"/>
      <c r="DHG37" s="704"/>
      <c r="DHH37" s="704"/>
      <c r="DHI37" s="704"/>
      <c r="DHJ37" s="704"/>
      <c r="DHK37" s="704"/>
      <c r="DHL37" s="704"/>
      <c r="DHM37" s="704"/>
      <c r="DHN37" s="704"/>
      <c r="DHO37" s="704"/>
      <c r="DHP37" s="704"/>
      <c r="DHQ37" s="704"/>
      <c r="DHR37" s="704"/>
      <c r="DHS37" s="704"/>
      <c r="DHT37" s="704"/>
      <c r="DHU37" s="704"/>
      <c r="DHV37" s="704"/>
      <c r="DHW37" s="704"/>
      <c r="DHX37" s="704"/>
      <c r="DHY37" s="704"/>
      <c r="DHZ37" s="704"/>
      <c r="DIA37" s="704"/>
      <c r="DIB37" s="704"/>
      <c r="DIC37" s="704"/>
      <c r="DID37" s="704"/>
      <c r="DIE37" s="704"/>
      <c r="DIF37" s="704"/>
      <c r="DIG37" s="704"/>
      <c r="DIH37" s="704"/>
      <c r="DII37" s="704"/>
      <c r="DIJ37" s="704"/>
      <c r="DIK37" s="704"/>
      <c r="DIL37" s="704"/>
      <c r="DIM37" s="704"/>
      <c r="DIN37" s="704"/>
      <c r="DIO37" s="704"/>
      <c r="DIP37" s="704"/>
      <c r="DIQ37" s="704"/>
      <c r="DIR37" s="704"/>
      <c r="DIS37" s="704"/>
      <c r="DIT37" s="704"/>
      <c r="DIU37" s="704"/>
      <c r="DIV37" s="704"/>
      <c r="DIW37" s="704"/>
      <c r="DIX37" s="704"/>
      <c r="DIY37" s="704"/>
      <c r="DIZ37" s="704"/>
      <c r="DJA37" s="704"/>
      <c r="DJB37" s="704"/>
      <c r="DJC37" s="704"/>
      <c r="DJD37" s="704"/>
      <c r="DJE37" s="704"/>
      <c r="DJF37" s="704"/>
      <c r="DJG37" s="704"/>
      <c r="DJH37" s="704"/>
      <c r="DJI37" s="704"/>
      <c r="DJJ37" s="704"/>
      <c r="DJK37" s="704"/>
      <c r="DJL37" s="704"/>
      <c r="DJM37" s="704"/>
      <c r="DJN37" s="704"/>
      <c r="DJO37" s="704"/>
      <c r="DJP37" s="704"/>
      <c r="DJQ37" s="704"/>
      <c r="DJR37" s="704"/>
      <c r="DJS37" s="704"/>
      <c r="DJT37" s="704"/>
      <c r="DJU37" s="704"/>
      <c r="DJV37" s="704"/>
      <c r="DJW37" s="704"/>
      <c r="DJX37" s="704"/>
      <c r="DJY37" s="704"/>
      <c r="DJZ37" s="704"/>
      <c r="DKA37" s="704"/>
      <c r="DKB37" s="704"/>
      <c r="DKC37" s="704"/>
      <c r="DKD37" s="704"/>
      <c r="DKE37" s="704"/>
      <c r="DKF37" s="704"/>
      <c r="DKG37" s="704"/>
      <c r="DKH37" s="704"/>
      <c r="DKI37" s="704"/>
      <c r="DKJ37" s="704"/>
      <c r="DKK37" s="704"/>
      <c r="DKL37" s="704"/>
      <c r="DKM37" s="704"/>
      <c r="DKN37" s="704"/>
      <c r="DKO37" s="704"/>
      <c r="DKP37" s="704"/>
      <c r="DKQ37" s="704"/>
      <c r="DKR37" s="704"/>
      <c r="DKS37" s="704"/>
      <c r="DKT37" s="704"/>
      <c r="DKU37" s="704"/>
      <c r="DKV37" s="704"/>
      <c r="DKW37" s="704"/>
      <c r="DKX37" s="704"/>
      <c r="DKY37" s="704"/>
      <c r="DKZ37" s="704"/>
      <c r="DLA37" s="704"/>
      <c r="DLB37" s="704"/>
      <c r="DLC37" s="704"/>
      <c r="DLD37" s="704"/>
      <c r="DLE37" s="704"/>
      <c r="DLF37" s="704"/>
      <c r="DLG37" s="704"/>
      <c r="DLH37" s="704"/>
      <c r="DLI37" s="704"/>
      <c r="DLJ37" s="704"/>
      <c r="DLK37" s="704"/>
      <c r="DLL37" s="704"/>
      <c r="DLM37" s="704"/>
      <c r="DLN37" s="704"/>
      <c r="DLO37" s="704"/>
      <c r="DLP37" s="704"/>
      <c r="DLQ37" s="704"/>
      <c r="DLR37" s="704"/>
      <c r="DLS37" s="704"/>
      <c r="DLT37" s="704"/>
      <c r="DLU37" s="704"/>
      <c r="DLV37" s="704"/>
      <c r="DLW37" s="704"/>
      <c r="DLX37" s="704"/>
      <c r="DLY37" s="704"/>
      <c r="DLZ37" s="704"/>
      <c r="DMA37" s="704"/>
      <c r="DMB37" s="704"/>
      <c r="DMC37" s="704"/>
      <c r="DMD37" s="704"/>
      <c r="DME37" s="704"/>
      <c r="DMF37" s="704"/>
      <c r="DMG37" s="704"/>
      <c r="DMH37" s="704"/>
      <c r="DMI37" s="704"/>
      <c r="DMJ37" s="704"/>
      <c r="DMK37" s="704"/>
      <c r="DML37" s="704"/>
      <c r="DMM37" s="704"/>
      <c r="DMN37" s="704"/>
      <c r="DMO37" s="704"/>
      <c r="DMP37" s="704"/>
      <c r="DMQ37" s="704"/>
      <c r="DMR37" s="704"/>
      <c r="DMS37" s="704"/>
      <c r="DMT37" s="704"/>
      <c r="DMU37" s="704"/>
      <c r="DMV37" s="704"/>
      <c r="DMW37" s="704"/>
      <c r="DMX37" s="704"/>
      <c r="DMY37" s="704"/>
      <c r="DMZ37" s="704"/>
      <c r="DNA37" s="704"/>
      <c r="DNB37" s="704"/>
      <c r="DNC37" s="704"/>
      <c r="DND37" s="704"/>
      <c r="DNE37" s="704"/>
      <c r="DNF37" s="704"/>
      <c r="DNG37" s="704"/>
      <c r="DNH37" s="704"/>
      <c r="DNI37" s="704"/>
      <c r="DNJ37" s="704"/>
      <c r="DNK37" s="704"/>
      <c r="DNL37" s="704"/>
      <c r="DNM37" s="704"/>
      <c r="DNN37" s="704"/>
      <c r="DNO37" s="704"/>
      <c r="DNP37" s="704"/>
      <c r="DNQ37" s="704"/>
      <c r="DNR37" s="704"/>
      <c r="DNS37" s="704"/>
      <c r="DNT37" s="704"/>
      <c r="DNU37" s="704"/>
      <c r="DNV37" s="704"/>
      <c r="DNW37" s="704"/>
      <c r="DNX37" s="704"/>
      <c r="DNY37" s="704"/>
      <c r="DNZ37" s="704"/>
      <c r="DOA37" s="704"/>
      <c r="DOB37" s="704"/>
      <c r="DOC37" s="704"/>
      <c r="DOD37" s="704"/>
      <c r="DOE37" s="704"/>
      <c r="DOF37" s="704"/>
      <c r="DOG37" s="704"/>
      <c r="DOH37" s="704"/>
      <c r="DOI37" s="704"/>
      <c r="DOJ37" s="704"/>
      <c r="DOK37" s="704"/>
      <c r="DOL37" s="704"/>
      <c r="DOM37" s="704"/>
      <c r="DON37" s="704"/>
      <c r="DOO37" s="704"/>
      <c r="DOP37" s="704"/>
      <c r="DOQ37" s="704"/>
      <c r="DOR37" s="704"/>
      <c r="DOS37" s="704"/>
      <c r="DOT37" s="704"/>
      <c r="DOU37" s="704"/>
      <c r="DOV37" s="704"/>
      <c r="DOW37" s="704"/>
      <c r="DOX37" s="704"/>
      <c r="DOY37" s="704"/>
      <c r="DOZ37" s="704"/>
      <c r="DPA37" s="704"/>
      <c r="DPB37" s="704"/>
      <c r="DPC37" s="704"/>
      <c r="DPD37" s="704"/>
      <c r="DPE37" s="704"/>
      <c r="DPF37" s="704"/>
      <c r="DPG37" s="704"/>
      <c r="DPH37" s="704"/>
      <c r="DPI37" s="704"/>
      <c r="DPJ37" s="704"/>
      <c r="DPK37" s="704"/>
      <c r="DPL37" s="704"/>
      <c r="DPM37" s="704"/>
      <c r="DPN37" s="704"/>
      <c r="DPO37" s="704"/>
      <c r="DPP37" s="704"/>
      <c r="DPQ37" s="704"/>
      <c r="DPR37" s="704"/>
      <c r="DPS37" s="704"/>
      <c r="DPT37" s="704"/>
      <c r="DPU37" s="704"/>
      <c r="DPV37" s="704"/>
      <c r="DPW37" s="704"/>
      <c r="DPX37" s="704"/>
      <c r="DPY37" s="704"/>
      <c r="DPZ37" s="704"/>
      <c r="DQA37" s="704"/>
      <c r="DQB37" s="704"/>
      <c r="DQC37" s="704"/>
      <c r="DQD37" s="704"/>
      <c r="DQE37" s="704"/>
      <c r="DQF37" s="704"/>
      <c r="DQG37" s="704"/>
      <c r="DQH37" s="704"/>
      <c r="DQI37" s="704"/>
      <c r="DQJ37" s="704"/>
      <c r="DQK37" s="704"/>
      <c r="DQL37" s="704"/>
      <c r="DQM37" s="704"/>
      <c r="DQN37" s="704"/>
      <c r="DQO37" s="704"/>
      <c r="DQP37" s="704"/>
      <c r="DQQ37" s="704"/>
      <c r="DQR37" s="704"/>
      <c r="DQS37" s="704"/>
      <c r="DQT37" s="704"/>
      <c r="DQU37" s="704"/>
      <c r="DQV37" s="704"/>
      <c r="DQW37" s="704"/>
      <c r="DQX37" s="704"/>
      <c r="DQY37" s="704"/>
      <c r="DQZ37" s="704"/>
      <c r="DRA37" s="704"/>
      <c r="DRB37" s="704"/>
      <c r="DRC37" s="704"/>
      <c r="DRD37" s="704"/>
      <c r="DRE37" s="704"/>
      <c r="DRF37" s="704"/>
      <c r="DRG37" s="704"/>
      <c r="DRH37" s="704"/>
      <c r="DRI37" s="704"/>
      <c r="DRJ37" s="704"/>
      <c r="DRK37" s="704"/>
      <c r="DRL37" s="704"/>
      <c r="DRM37" s="704"/>
      <c r="DRN37" s="704"/>
      <c r="DRO37" s="704"/>
      <c r="DRP37" s="704"/>
      <c r="DRQ37" s="704"/>
      <c r="DRR37" s="704"/>
      <c r="DRS37" s="704"/>
      <c r="DRT37" s="704"/>
      <c r="DRU37" s="704"/>
      <c r="DRV37" s="704"/>
      <c r="DRW37" s="704"/>
      <c r="DRX37" s="704"/>
      <c r="DRY37" s="704"/>
      <c r="DRZ37" s="704"/>
      <c r="DSA37" s="704"/>
      <c r="DSB37" s="704"/>
      <c r="DSC37" s="704"/>
      <c r="DSD37" s="704"/>
      <c r="DSE37" s="704"/>
      <c r="DSF37" s="704"/>
      <c r="DSG37" s="704"/>
      <c r="DSH37" s="704"/>
      <c r="DSI37" s="704"/>
      <c r="DSJ37" s="704"/>
      <c r="DSK37" s="704"/>
      <c r="DSL37" s="704"/>
      <c r="DSM37" s="704"/>
      <c r="DSN37" s="704"/>
      <c r="DSO37" s="704"/>
      <c r="DSP37" s="704"/>
      <c r="DSQ37" s="704"/>
      <c r="DSR37" s="704"/>
      <c r="DSS37" s="704"/>
      <c r="DST37" s="704"/>
      <c r="DSU37" s="704"/>
      <c r="DSV37" s="704"/>
      <c r="DSW37" s="704"/>
      <c r="DSX37" s="704"/>
      <c r="DSY37" s="704"/>
      <c r="DSZ37" s="704"/>
      <c r="DTA37" s="704"/>
      <c r="DTB37" s="704"/>
      <c r="DTC37" s="704"/>
      <c r="DTD37" s="704"/>
      <c r="DTE37" s="704"/>
      <c r="DTF37" s="704"/>
      <c r="DTG37" s="704"/>
      <c r="DTH37" s="704"/>
      <c r="DTI37" s="704"/>
      <c r="DTJ37" s="704"/>
      <c r="DTK37" s="704"/>
      <c r="DTL37" s="704"/>
      <c r="DTM37" s="704"/>
      <c r="DTN37" s="704"/>
      <c r="DTO37" s="704"/>
      <c r="DTP37" s="704"/>
      <c r="DTQ37" s="704"/>
      <c r="DTR37" s="704"/>
      <c r="DTS37" s="704"/>
      <c r="DTT37" s="704"/>
      <c r="DTU37" s="704"/>
      <c r="DTV37" s="704"/>
      <c r="DTW37" s="704"/>
      <c r="DTX37" s="704"/>
      <c r="DTY37" s="704"/>
      <c r="DTZ37" s="704"/>
      <c r="DUA37" s="704"/>
      <c r="DUB37" s="704"/>
      <c r="DUC37" s="704"/>
      <c r="DUD37" s="704"/>
      <c r="DUE37" s="704"/>
      <c r="DUF37" s="704"/>
      <c r="DUG37" s="704"/>
      <c r="DUH37" s="704"/>
      <c r="DUI37" s="704"/>
      <c r="DUJ37" s="704"/>
      <c r="DUK37" s="704"/>
      <c r="DUL37" s="704"/>
      <c r="DUM37" s="704"/>
      <c r="DUN37" s="704"/>
      <c r="DUO37" s="704"/>
      <c r="DUP37" s="704"/>
      <c r="DUQ37" s="704"/>
      <c r="DUR37" s="704"/>
      <c r="DUS37" s="704"/>
      <c r="DUT37" s="704"/>
      <c r="DUU37" s="704"/>
      <c r="DUV37" s="704"/>
      <c r="DUW37" s="704"/>
      <c r="DUX37" s="704"/>
      <c r="DUY37" s="704"/>
      <c r="DUZ37" s="704"/>
      <c r="DVA37" s="704"/>
      <c r="DVB37" s="704"/>
      <c r="DVC37" s="704"/>
      <c r="DVD37" s="704"/>
      <c r="DVE37" s="704"/>
      <c r="DVF37" s="704"/>
      <c r="DVG37" s="704"/>
      <c r="DVH37" s="704"/>
      <c r="DVI37" s="704"/>
      <c r="DVJ37" s="704"/>
      <c r="DVK37" s="704"/>
      <c r="DVL37" s="704"/>
      <c r="DVM37" s="704"/>
      <c r="DVN37" s="704"/>
      <c r="DVO37" s="704"/>
      <c r="DVP37" s="704"/>
      <c r="DVQ37" s="704"/>
      <c r="DVR37" s="704"/>
      <c r="DVS37" s="704"/>
      <c r="DVT37" s="704"/>
      <c r="DVU37" s="704"/>
      <c r="DVV37" s="704"/>
      <c r="DVW37" s="704"/>
      <c r="DVX37" s="704"/>
      <c r="DVY37" s="704"/>
      <c r="DVZ37" s="704"/>
      <c r="DWA37" s="704"/>
      <c r="DWB37" s="704"/>
      <c r="DWC37" s="704"/>
      <c r="DWD37" s="704"/>
      <c r="DWE37" s="704"/>
      <c r="DWF37" s="704"/>
      <c r="DWG37" s="704"/>
      <c r="DWH37" s="704"/>
      <c r="DWI37" s="704"/>
      <c r="DWJ37" s="704"/>
      <c r="DWK37" s="704"/>
      <c r="DWL37" s="704"/>
      <c r="DWM37" s="704"/>
      <c r="DWN37" s="704"/>
      <c r="DWO37" s="704"/>
      <c r="DWP37" s="704"/>
      <c r="DWQ37" s="704"/>
      <c r="DWR37" s="704"/>
      <c r="DWS37" s="704"/>
      <c r="DWT37" s="704"/>
      <c r="DWU37" s="704"/>
      <c r="DWV37" s="704"/>
      <c r="DWW37" s="704"/>
      <c r="DWX37" s="704"/>
      <c r="DWY37" s="704"/>
      <c r="DWZ37" s="704"/>
      <c r="DXA37" s="704"/>
      <c r="DXB37" s="704"/>
      <c r="DXC37" s="704"/>
      <c r="DXD37" s="704"/>
      <c r="DXE37" s="704"/>
      <c r="DXF37" s="704"/>
      <c r="DXG37" s="704"/>
      <c r="DXH37" s="704"/>
      <c r="DXI37" s="704"/>
      <c r="DXJ37" s="704"/>
      <c r="DXK37" s="704"/>
      <c r="DXL37" s="704"/>
      <c r="DXM37" s="704"/>
      <c r="DXN37" s="704"/>
      <c r="DXO37" s="704"/>
      <c r="DXP37" s="704"/>
      <c r="DXQ37" s="704"/>
      <c r="DXR37" s="704"/>
      <c r="DXS37" s="704"/>
      <c r="DXT37" s="704"/>
      <c r="DXU37" s="704"/>
      <c r="DXV37" s="704"/>
      <c r="DXW37" s="704"/>
      <c r="DXX37" s="704"/>
      <c r="DXY37" s="704"/>
      <c r="DXZ37" s="704"/>
      <c r="DYA37" s="704"/>
      <c r="DYB37" s="704"/>
      <c r="DYC37" s="704"/>
      <c r="DYD37" s="704"/>
      <c r="DYE37" s="704"/>
      <c r="DYF37" s="704"/>
      <c r="DYG37" s="704"/>
      <c r="DYH37" s="704"/>
      <c r="DYI37" s="704"/>
      <c r="DYJ37" s="704"/>
      <c r="DYK37" s="704"/>
      <c r="DYL37" s="704"/>
      <c r="DYM37" s="704"/>
      <c r="DYN37" s="704"/>
      <c r="DYO37" s="704"/>
      <c r="DYP37" s="704"/>
      <c r="DYQ37" s="704"/>
      <c r="DYR37" s="704"/>
      <c r="DYS37" s="704"/>
      <c r="DYT37" s="704"/>
      <c r="DYU37" s="704"/>
      <c r="DYV37" s="704"/>
      <c r="DYW37" s="704"/>
      <c r="DYX37" s="704"/>
      <c r="DYY37" s="704"/>
      <c r="DYZ37" s="704"/>
      <c r="DZA37" s="704"/>
      <c r="DZB37" s="704"/>
      <c r="DZC37" s="704"/>
      <c r="DZD37" s="704"/>
      <c r="DZE37" s="704"/>
      <c r="DZF37" s="704"/>
      <c r="DZG37" s="704"/>
      <c r="DZH37" s="704"/>
      <c r="DZI37" s="704"/>
      <c r="DZJ37" s="704"/>
      <c r="DZK37" s="704"/>
      <c r="DZL37" s="704"/>
      <c r="DZM37" s="704"/>
      <c r="DZN37" s="704"/>
      <c r="DZO37" s="704"/>
      <c r="DZP37" s="704"/>
      <c r="DZQ37" s="704"/>
      <c r="DZR37" s="704"/>
      <c r="DZS37" s="704"/>
      <c r="DZT37" s="704"/>
      <c r="DZU37" s="704"/>
      <c r="DZV37" s="704"/>
      <c r="DZW37" s="704"/>
      <c r="DZX37" s="704"/>
      <c r="DZY37" s="704"/>
      <c r="DZZ37" s="704"/>
      <c r="EAA37" s="704"/>
      <c r="EAB37" s="704"/>
      <c r="EAC37" s="704"/>
      <c r="EAD37" s="704"/>
      <c r="EAE37" s="704"/>
      <c r="EAF37" s="704"/>
      <c r="EAG37" s="704"/>
      <c r="EAH37" s="704"/>
      <c r="EAI37" s="704"/>
      <c r="EAJ37" s="704"/>
      <c r="EAK37" s="704"/>
      <c r="EAL37" s="704"/>
      <c r="EAM37" s="704"/>
      <c r="EAN37" s="704"/>
      <c r="EAO37" s="704"/>
      <c r="EAP37" s="704"/>
      <c r="EAQ37" s="704"/>
      <c r="EAR37" s="704"/>
      <c r="EAS37" s="704"/>
      <c r="EAT37" s="704"/>
      <c r="EAU37" s="704"/>
      <c r="EAV37" s="704"/>
      <c r="EAW37" s="704"/>
      <c r="EAX37" s="704"/>
      <c r="EAY37" s="704"/>
      <c r="EAZ37" s="704"/>
      <c r="EBA37" s="704"/>
      <c r="EBB37" s="704"/>
      <c r="EBC37" s="704"/>
      <c r="EBD37" s="704"/>
      <c r="EBE37" s="704"/>
      <c r="EBF37" s="704"/>
      <c r="EBG37" s="704"/>
      <c r="EBH37" s="704"/>
      <c r="EBI37" s="704"/>
      <c r="EBJ37" s="704"/>
      <c r="EBK37" s="704"/>
      <c r="EBL37" s="704"/>
      <c r="EBM37" s="704"/>
      <c r="EBN37" s="704"/>
      <c r="EBO37" s="704"/>
      <c r="EBP37" s="704"/>
      <c r="EBQ37" s="704"/>
      <c r="EBR37" s="704"/>
      <c r="EBS37" s="704"/>
      <c r="EBT37" s="704"/>
      <c r="EBU37" s="704"/>
      <c r="EBV37" s="704"/>
      <c r="EBW37" s="704"/>
      <c r="EBX37" s="704"/>
      <c r="EBY37" s="704"/>
      <c r="EBZ37" s="704"/>
      <c r="ECA37" s="704"/>
      <c r="ECB37" s="704"/>
      <c r="ECC37" s="704"/>
      <c r="ECD37" s="704"/>
      <c r="ECE37" s="704"/>
      <c r="ECF37" s="704"/>
      <c r="ECG37" s="704"/>
      <c r="ECH37" s="704"/>
      <c r="ECI37" s="704"/>
      <c r="ECJ37" s="704"/>
      <c r="ECK37" s="704"/>
      <c r="ECL37" s="704"/>
      <c r="ECM37" s="704"/>
      <c r="ECN37" s="704"/>
      <c r="ECO37" s="704"/>
      <c r="ECP37" s="704"/>
      <c r="ECQ37" s="704"/>
      <c r="ECR37" s="704"/>
      <c r="ECS37" s="704"/>
      <c r="ECT37" s="704"/>
      <c r="ECU37" s="704"/>
      <c r="ECV37" s="704"/>
      <c r="ECW37" s="704"/>
      <c r="ECX37" s="704"/>
      <c r="ECY37" s="704"/>
      <c r="ECZ37" s="704"/>
      <c r="EDA37" s="704"/>
      <c r="EDB37" s="704"/>
      <c r="EDC37" s="704"/>
      <c r="EDD37" s="704"/>
      <c r="EDE37" s="704"/>
      <c r="EDF37" s="704"/>
      <c r="EDG37" s="704"/>
      <c r="EDH37" s="704"/>
      <c r="EDI37" s="704"/>
      <c r="EDJ37" s="704"/>
      <c r="EDK37" s="704"/>
      <c r="EDL37" s="704"/>
      <c r="EDM37" s="704"/>
      <c r="EDN37" s="704"/>
      <c r="EDO37" s="704"/>
      <c r="EDP37" s="704"/>
      <c r="EDQ37" s="704"/>
      <c r="EDR37" s="704"/>
      <c r="EDS37" s="704"/>
      <c r="EDT37" s="704"/>
      <c r="EDU37" s="704"/>
      <c r="EDV37" s="704"/>
      <c r="EDW37" s="704"/>
      <c r="EDX37" s="704"/>
      <c r="EDY37" s="704"/>
      <c r="EDZ37" s="704"/>
      <c r="EEA37" s="704"/>
      <c r="EEB37" s="704"/>
      <c r="EEC37" s="704"/>
      <c r="EED37" s="704"/>
      <c r="EEE37" s="704"/>
      <c r="EEF37" s="704"/>
      <c r="EEG37" s="704"/>
      <c r="EEH37" s="704"/>
      <c r="EEI37" s="704"/>
      <c r="EEJ37" s="704"/>
      <c r="EEK37" s="704"/>
      <c r="EEL37" s="704"/>
      <c r="EEM37" s="704"/>
      <c r="EEN37" s="704"/>
      <c r="EEO37" s="704"/>
      <c r="EEP37" s="704"/>
      <c r="EEQ37" s="704"/>
      <c r="EER37" s="704"/>
      <c r="EES37" s="704"/>
      <c r="EET37" s="704"/>
      <c r="EEU37" s="704"/>
      <c r="EEV37" s="704"/>
      <c r="EEW37" s="704"/>
      <c r="EEX37" s="704"/>
      <c r="EEY37" s="704"/>
      <c r="EEZ37" s="704"/>
      <c r="EFA37" s="704"/>
      <c r="EFB37" s="704"/>
      <c r="EFC37" s="704"/>
      <c r="EFD37" s="704"/>
      <c r="EFE37" s="704"/>
      <c r="EFF37" s="704"/>
      <c r="EFG37" s="704"/>
      <c r="EFH37" s="704"/>
      <c r="EFI37" s="704"/>
      <c r="EFJ37" s="704"/>
      <c r="EFK37" s="704"/>
      <c r="EFL37" s="704"/>
      <c r="EFM37" s="704"/>
      <c r="EFN37" s="704"/>
      <c r="EFO37" s="704"/>
      <c r="EFP37" s="704"/>
      <c r="EFQ37" s="704"/>
      <c r="EFR37" s="704"/>
      <c r="EFS37" s="704"/>
      <c r="EFT37" s="704"/>
      <c r="EFU37" s="704"/>
      <c r="EFV37" s="704"/>
      <c r="EFW37" s="704"/>
      <c r="EFX37" s="704"/>
      <c r="EFY37" s="704"/>
      <c r="EFZ37" s="704"/>
      <c r="EGA37" s="704"/>
      <c r="EGB37" s="704"/>
      <c r="EGC37" s="704"/>
      <c r="EGD37" s="704"/>
      <c r="EGE37" s="704"/>
      <c r="EGF37" s="704"/>
      <c r="EGG37" s="704"/>
      <c r="EGH37" s="704"/>
      <c r="EGI37" s="704"/>
      <c r="EGJ37" s="704"/>
      <c r="EGK37" s="704"/>
      <c r="EGL37" s="704"/>
      <c r="EGM37" s="704"/>
      <c r="EGN37" s="704"/>
      <c r="EGO37" s="704"/>
      <c r="EGP37" s="704"/>
      <c r="EGQ37" s="704"/>
      <c r="EGR37" s="704"/>
      <c r="EGS37" s="704"/>
      <c r="EGT37" s="704"/>
      <c r="EGU37" s="704"/>
      <c r="EGV37" s="704"/>
      <c r="EGW37" s="704"/>
      <c r="EGX37" s="704"/>
      <c r="EGY37" s="704"/>
      <c r="EGZ37" s="704"/>
      <c r="EHA37" s="704"/>
      <c r="EHB37" s="704"/>
      <c r="EHC37" s="704"/>
      <c r="EHD37" s="704"/>
      <c r="EHE37" s="704"/>
      <c r="EHF37" s="704"/>
      <c r="EHG37" s="704"/>
      <c r="EHH37" s="704"/>
      <c r="EHI37" s="704"/>
      <c r="EHJ37" s="704"/>
      <c r="EHK37" s="704"/>
      <c r="EHL37" s="704"/>
      <c r="EHM37" s="704"/>
      <c r="EHN37" s="704"/>
      <c r="EHO37" s="704"/>
      <c r="EHP37" s="704"/>
      <c r="EHQ37" s="704"/>
      <c r="EHR37" s="704"/>
      <c r="EHS37" s="704"/>
      <c r="EHT37" s="704"/>
      <c r="EHU37" s="704"/>
      <c r="EHV37" s="704"/>
      <c r="EHW37" s="704"/>
      <c r="EHX37" s="704"/>
      <c r="EHY37" s="704"/>
      <c r="EHZ37" s="704"/>
      <c r="EIA37" s="704"/>
      <c r="EIB37" s="704"/>
      <c r="EIC37" s="704"/>
      <c r="EID37" s="704"/>
      <c r="EIE37" s="704"/>
      <c r="EIF37" s="704"/>
      <c r="EIG37" s="704"/>
      <c r="EIH37" s="704"/>
      <c r="EII37" s="704"/>
      <c r="EIJ37" s="704"/>
      <c r="EIK37" s="704"/>
      <c r="EIL37" s="704"/>
      <c r="EIM37" s="704"/>
      <c r="EIN37" s="704"/>
      <c r="EIO37" s="704"/>
      <c r="EIP37" s="704"/>
      <c r="EIQ37" s="704"/>
      <c r="EIR37" s="704"/>
      <c r="EIS37" s="704"/>
      <c r="EIT37" s="704"/>
      <c r="EIU37" s="704"/>
      <c r="EIV37" s="704"/>
      <c r="EIW37" s="704"/>
      <c r="EIX37" s="704"/>
      <c r="EIY37" s="704"/>
      <c r="EIZ37" s="704"/>
      <c r="EJA37" s="704"/>
      <c r="EJB37" s="704"/>
      <c r="EJC37" s="704"/>
      <c r="EJD37" s="704"/>
      <c r="EJE37" s="704"/>
      <c r="EJF37" s="704"/>
      <c r="EJG37" s="704"/>
      <c r="EJH37" s="704"/>
      <c r="EJI37" s="704"/>
      <c r="EJJ37" s="704"/>
      <c r="EJK37" s="704"/>
      <c r="EJL37" s="704"/>
      <c r="EJM37" s="704"/>
      <c r="EJN37" s="704"/>
      <c r="EJO37" s="704"/>
      <c r="EJP37" s="704"/>
      <c r="EJQ37" s="704"/>
      <c r="EJR37" s="704"/>
      <c r="EJS37" s="704"/>
      <c r="EJT37" s="704"/>
      <c r="EJU37" s="704"/>
      <c r="EJV37" s="704"/>
      <c r="EJW37" s="704"/>
      <c r="EJX37" s="704"/>
      <c r="EJY37" s="704"/>
      <c r="EJZ37" s="704"/>
      <c r="EKA37" s="704"/>
      <c r="EKB37" s="704"/>
      <c r="EKC37" s="704"/>
      <c r="EKD37" s="704"/>
      <c r="EKE37" s="704"/>
      <c r="EKF37" s="704"/>
      <c r="EKG37" s="704"/>
      <c r="EKH37" s="704"/>
      <c r="EKI37" s="704"/>
      <c r="EKJ37" s="704"/>
      <c r="EKK37" s="704"/>
      <c r="EKL37" s="704"/>
      <c r="EKM37" s="704"/>
      <c r="EKN37" s="704"/>
      <c r="EKO37" s="704"/>
      <c r="EKP37" s="704"/>
      <c r="EKQ37" s="704"/>
      <c r="EKR37" s="704"/>
      <c r="EKS37" s="704"/>
      <c r="EKT37" s="704"/>
      <c r="EKU37" s="704"/>
      <c r="EKV37" s="704"/>
      <c r="EKW37" s="704"/>
      <c r="EKX37" s="704"/>
      <c r="EKY37" s="704"/>
      <c r="EKZ37" s="704"/>
      <c r="ELA37" s="704"/>
      <c r="ELB37" s="704"/>
      <c r="ELC37" s="704"/>
      <c r="ELD37" s="704"/>
      <c r="ELE37" s="704"/>
      <c r="ELF37" s="704"/>
      <c r="ELG37" s="704"/>
      <c r="ELH37" s="704"/>
      <c r="ELI37" s="704"/>
      <c r="ELJ37" s="704"/>
      <c r="ELK37" s="704"/>
      <c r="ELL37" s="704"/>
      <c r="ELM37" s="704"/>
      <c r="ELN37" s="704"/>
      <c r="ELO37" s="704"/>
      <c r="ELP37" s="704"/>
      <c r="ELQ37" s="704"/>
      <c r="ELR37" s="704"/>
      <c r="ELS37" s="704"/>
      <c r="ELT37" s="704"/>
      <c r="ELU37" s="704"/>
      <c r="ELV37" s="704"/>
      <c r="ELW37" s="704"/>
      <c r="ELX37" s="704"/>
      <c r="ELY37" s="704"/>
      <c r="ELZ37" s="704"/>
      <c r="EMA37" s="704"/>
      <c r="EMB37" s="704"/>
      <c r="EMC37" s="704"/>
      <c r="EMD37" s="704"/>
      <c r="EME37" s="704"/>
      <c r="EMF37" s="704"/>
      <c r="EMG37" s="704"/>
      <c r="EMH37" s="704"/>
      <c r="EMI37" s="704"/>
      <c r="EMJ37" s="704"/>
      <c r="EMK37" s="704"/>
      <c r="EML37" s="704"/>
      <c r="EMM37" s="704"/>
      <c r="EMN37" s="704"/>
      <c r="EMO37" s="704"/>
      <c r="EMP37" s="704"/>
      <c r="EMQ37" s="704"/>
      <c r="EMR37" s="704"/>
      <c r="EMS37" s="704"/>
      <c r="EMT37" s="704"/>
      <c r="EMU37" s="704"/>
      <c r="EMV37" s="704"/>
      <c r="EMW37" s="704"/>
      <c r="EMX37" s="704"/>
      <c r="EMY37" s="704"/>
      <c r="EMZ37" s="704"/>
      <c r="ENA37" s="704"/>
      <c r="ENB37" s="704"/>
      <c r="ENC37" s="704"/>
      <c r="END37" s="704"/>
      <c r="ENE37" s="704"/>
      <c r="ENF37" s="704"/>
      <c r="ENG37" s="704"/>
      <c r="ENH37" s="704"/>
      <c r="ENI37" s="704"/>
      <c r="ENJ37" s="704"/>
      <c r="ENK37" s="704"/>
      <c r="ENL37" s="704"/>
      <c r="ENM37" s="704"/>
      <c r="ENN37" s="704"/>
      <c r="ENO37" s="704"/>
      <c r="ENP37" s="704"/>
      <c r="ENQ37" s="704"/>
      <c r="ENR37" s="704"/>
      <c r="ENS37" s="704"/>
      <c r="ENT37" s="704"/>
      <c r="ENU37" s="704"/>
      <c r="ENV37" s="704"/>
      <c r="ENW37" s="704"/>
      <c r="ENX37" s="704"/>
      <c r="ENY37" s="704"/>
      <c r="ENZ37" s="704"/>
      <c r="EOA37" s="704"/>
      <c r="EOB37" s="704"/>
      <c r="EOC37" s="704"/>
      <c r="EOD37" s="704"/>
      <c r="EOE37" s="704"/>
      <c r="EOF37" s="704"/>
      <c r="EOG37" s="704"/>
      <c r="EOH37" s="704"/>
      <c r="EOI37" s="704"/>
      <c r="EOJ37" s="704"/>
      <c r="EOK37" s="704"/>
      <c r="EOL37" s="704"/>
      <c r="EOM37" s="704"/>
      <c r="EON37" s="704"/>
      <c r="EOO37" s="704"/>
      <c r="EOP37" s="704"/>
      <c r="EOQ37" s="704"/>
      <c r="EOR37" s="704"/>
      <c r="EOS37" s="704"/>
      <c r="EOT37" s="704"/>
      <c r="EOU37" s="704"/>
      <c r="EOV37" s="704"/>
      <c r="EOW37" s="704"/>
      <c r="EOX37" s="704"/>
      <c r="EOY37" s="704"/>
      <c r="EOZ37" s="704"/>
      <c r="EPA37" s="704"/>
      <c r="EPB37" s="704"/>
      <c r="EPC37" s="704"/>
      <c r="EPD37" s="704"/>
      <c r="EPE37" s="704"/>
      <c r="EPF37" s="704"/>
      <c r="EPG37" s="704"/>
      <c r="EPH37" s="704"/>
      <c r="EPI37" s="704"/>
      <c r="EPJ37" s="704"/>
      <c r="EPK37" s="704"/>
      <c r="EPL37" s="704"/>
      <c r="EPM37" s="704"/>
      <c r="EPN37" s="704"/>
      <c r="EPO37" s="704"/>
      <c r="EPP37" s="704"/>
      <c r="EPQ37" s="704"/>
      <c r="EPR37" s="704"/>
      <c r="EPS37" s="704"/>
      <c r="EPT37" s="704"/>
      <c r="EPU37" s="704"/>
      <c r="EPV37" s="704"/>
      <c r="EPW37" s="704"/>
      <c r="EPX37" s="704"/>
      <c r="EPY37" s="704"/>
      <c r="EPZ37" s="704"/>
      <c r="EQA37" s="704"/>
      <c r="EQB37" s="704"/>
      <c r="EQC37" s="704"/>
      <c r="EQD37" s="704"/>
      <c r="EQE37" s="704"/>
      <c r="EQF37" s="704"/>
      <c r="EQG37" s="704"/>
      <c r="EQH37" s="704"/>
      <c r="EQI37" s="704"/>
      <c r="EQJ37" s="704"/>
      <c r="EQK37" s="704"/>
      <c r="EQL37" s="704"/>
      <c r="EQM37" s="704"/>
      <c r="EQN37" s="704"/>
      <c r="EQO37" s="704"/>
      <c r="EQP37" s="704"/>
      <c r="EQQ37" s="704"/>
      <c r="EQR37" s="704"/>
      <c r="EQS37" s="704"/>
      <c r="EQT37" s="704"/>
      <c r="EQU37" s="704"/>
      <c r="EQV37" s="704"/>
      <c r="EQW37" s="704"/>
      <c r="EQX37" s="704"/>
      <c r="EQY37" s="704"/>
      <c r="EQZ37" s="704"/>
      <c r="ERA37" s="704"/>
      <c r="ERB37" s="704"/>
      <c r="ERC37" s="704"/>
      <c r="ERD37" s="704"/>
      <c r="ERE37" s="704"/>
      <c r="ERF37" s="704"/>
      <c r="ERG37" s="704"/>
      <c r="ERH37" s="704"/>
      <c r="ERI37" s="704"/>
      <c r="ERJ37" s="704"/>
      <c r="ERK37" s="704"/>
      <c r="ERL37" s="704"/>
      <c r="ERM37" s="704"/>
      <c r="ERN37" s="704"/>
      <c r="ERO37" s="704"/>
      <c r="ERP37" s="704"/>
      <c r="ERQ37" s="704"/>
      <c r="ERR37" s="704"/>
      <c r="ERS37" s="704"/>
      <c r="ERT37" s="704"/>
      <c r="ERU37" s="704"/>
      <c r="ERV37" s="704"/>
      <c r="ERW37" s="704"/>
      <c r="ERX37" s="704"/>
      <c r="ERY37" s="704"/>
      <c r="ERZ37" s="704"/>
      <c r="ESA37" s="704"/>
      <c r="ESB37" s="704"/>
      <c r="ESC37" s="704"/>
      <c r="ESD37" s="704"/>
      <c r="ESE37" s="704"/>
      <c r="ESF37" s="704"/>
      <c r="ESG37" s="704"/>
      <c r="ESH37" s="704"/>
      <c r="ESI37" s="704"/>
      <c r="ESJ37" s="704"/>
      <c r="ESK37" s="704"/>
      <c r="ESL37" s="704"/>
      <c r="ESM37" s="704"/>
      <c r="ESN37" s="704"/>
      <c r="ESO37" s="704"/>
      <c r="ESP37" s="704"/>
      <c r="ESQ37" s="704"/>
      <c r="ESR37" s="704"/>
      <c r="ESS37" s="704"/>
      <c r="EST37" s="704"/>
      <c r="ESU37" s="704"/>
      <c r="ESV37" s="704"/>
      <c r="ESW37" s="704"/>
      <c r="ESX37" s="704"/>
      <c r="ESY37" s="704"/>
      <c r="ESZ37" s="704"/>
      <c r="ETA37" s="704"/>
      <c r="ETB37" s="704"/>
      <c r="ETC37" s="704"/>
      <c r="ETD37" s="704"/>
      <c r="ETE37" s="704"/>
      <c r="ETF37" s="704"/>
      <c r="ETG37" s="704"/>
      <c r="ETH37" s="704"/>
      <c r="ETI37" s="704"/>
      <c r="ETJ37" s="704"/>
      <c r="ETK37" s="704"/>
      <c r="ETL37" s="704"/>
      <c r="ETM37" s="704"/>
      <c r="ETN37" s="704"/>
      <c r="ETO37" s="704"/>
      <c r="ETP37" s="704"/>
      <c r="ETQ37" s="704"/>
      <c r="ETR37" s="704"/>
      <c r="ETS37" s="704"/>
      <c r="ETT37" s="704"/>
      <c r="ETU37" s="704"/>
      <c r="ETV37" s="704"/>
      <c r="ETW37" s="704"/>
      <c r="ETX37" s="704"/>
      <c r="ETY37" s="704"/>
      <c r="ETZ37" s="704"/>
      <c r="EUA37" s="704"/>
      <c r="EUB37" s="704"/>
      <c r="EUC37" s="704"/>
      <c r="EUD37" s="704"/>
      <c r="EUE37" s="704"/>
      <c r="EUF37" s="704"/>
      <c r="EUG37" s="704"/>
      <c r="EUH37" s="704"/>
      <c r="EUI37" s="704"/>
      <c r="EUJ37" s="704"/>
      <c r="EUK37" s="704"/>
      <c r="EUL37" s="704"/>
      <c r="EUM37" s="704"/>
      <c r="EUN37" s="704"/>
      <c r="EUO37" s="704"/>
      <c r="EUP37" s="704"/>
      <c r="EUQ37" s="704"/>
      <c r="EUR37" s="704"/>
      <c r="EUS37" s="704"/>
      <c r="EUT37" s="704"/>
      <c r="EUU37" s="704"/>
      <c r="EUV37" s="704"/>
      <c r="EUW37" s="704"/>
      <c r="EUX37" s="704"/>
      <c r="EUY37" s="704"/>
      <c r="EUZ37" s="704"/>
      <c r="EVA37" s="704"/>
      <c r="EVB37" s="704"/>
      <c r="EVC37" s="704"/>
      <c r="EVD37" s="704"/>
      <c r="EVE37" s="704"/>
      <c r="EVF37" s="704"/>
      <c r="EVG37" s="704"/>
      <c r="EVH37" s="704"/>
      <c r="EVI37" s="704"/>
      <c r="EVJ37" s="704"/>
      <c r="EVK37" s="704"/>
      <c r="EVL37" s="704"/>
      <c r="EVM37" s="704"/>
      <c r="EVN37" s="704"/>
      <c r="EVO37" s="704"/>
      <c r="EVP37" s="704"/>
      <c r="EVQ37" s="704"/>
      <c r="EVR37" s="704"/>
      <c r="EVS37" s="704"/>
      <c r="EVT37" s="704"/>
      <c r="EVU37" s="704"/>
      <c r="EVV37" s="704"/>
      <c r="EVW37" s="704"/>
      <c r="EVX37" s="704"/>
      <c r="EVY37" s="704"/>
      <c r="EVZ37" s="704"/>
      <c r="EWA37" s="704"/>
      <c r="EWB37" s="704"/>
      <c r="EWC37" s="704"/>
      <c r="EWD37" s="704"/>
      <c r="EWE37" s="704"/>
      <c r="EWF37" s="704"/>
      <c r="EWG37" s="704"/>
      <c r="EWH37" s="704"/>
      <c r="EWI37" s="704"/>
      <c r="EWJ37" s="704"/>
      <c r="EWK37" s="704"/>
      <c r="EWL37" s="704"/>
      <c r="EWM37" s="704"/>
      <c r="EWN37" s="704"/>
      <c r="EWO37" s="704"/>
      <c r="EWP37" s="704"/>
      <c r="EWQ37" s="704"/>
      <c r="EWR37" s="704"/>
      <c r="EWS37" s="704"/>
      <c r="EWT37" s="704"/>
      <c r="EWU37" s="704"/>
      <c r="EWV37" s="704"/>
      <c r="EWW37" s="704"/>
      <c r="EWX37" s="704"/>
      <c r="EWY37" s="704"/>
      <c r="EWZ37" s="704"/>
      <c r="EXA37" s="704"/>
      <c r="EXB37" s="704"/>
      <c r="EXC37" s="704"/>
      <c r="EXD37" s="704"/>
      <c r="EXE37" s="704"/>
      <c r="EXF37" s="704"/>
      <c r="EXG37" s="704"/>
      <c r="EXH37" s="704"/>
      <c r="EXI37" s="704"/>
      <c r="EXJ37" s="704"/>
      <c r="EXK37" s="704"/>
      <c r="EXL37" s="704"/>
      <c r="EXM37" s="704"/>
      <c r="EXN37" s="704"/>
      <c r="EXO37" s="704"/>
      <c r="EXP37" s="704"/>
      <c r="EXQ37" s="704"/>
      <c r="EXR37" s="704"/>
      <c r="EXS37" s="704"/>
      <c r="EXT37" s="704"/>
      <c r="EXU37" s="704"/>
      <c r="EXV37" s="704"/>
      <c r="EXW37" s="704"/>
      <c r="EXX37" s="704"/>
      <c r="EXY37" s="704"/>
      <c r="EXZ37" s="704"/>
      <c r="EYA37" s="704"/>
      <c r="EYB37" s="704"/>
      <c r="EYC37" s="704"/>
      <c r="EYD37" s="704"/>
      <c r="EYE37" s="704"/>
      <c r="EYF37" s="704"/>
      <c r="EYG37" s="704"/>
      <c r="EYH37" s="704"/>
      <c r="EYI37" s="704"/>
      <c r="EYJ37" s="704"/>
      <c r="EYK37" s="704"/>
      <c r="EYL37" s="704"/>
      <c r="EYM37" s="704"/>
      <c r="EYN37" s="704"/>
      <c r="EYO37" s="704"/>
      <c r="EYP37" s="704"/>
      <c r="EYQ37" s="704"/>
      <c r="EYR37" s="704"/>
      <c r="EYS37" s="704"/>
      <c r="EYT37" s="704"/>
      <c r="EYU37" s="704"/>
      <c r="EYV37" s="704"/>
      <c r="EYW37" s="704"/>
      <c r="EYX37" s="704"/>
      <c r="EYY37" s="704"/>
      <c r="EYZ37" s="704"/>
      <c r="EZA37" s="704"/>
      <c r="EZB37" s="704"/>
      <c r="EZC37" s="704"/>
      <c r="EZD37" s="704"/>
      <c r="EZE37" s="704"/>
      <c r="EZF37" s="704"/>
      <c r="EZG37" s="704"/>
      <c r="EZH37" s="704"/>
      <c r="EZI37" s="704"/>
      <c r="EZJ37" s="704"/>
      <c r="EZK37" s="704"/>
      <c r="EZL37" s="704"/>
      <c r="EZM37" s="704"/>
      <c r="EZN37" s="704"/>
      <c r="EZO37" s="704"/>
      <c r="EZP37" s="704"/>
      <c r="EZQ37" s="704"/>
      <c r="EZR37" s="704"/>
      <c r="EZS37" s="704"/>
      <c r="EZT37" s="704"/>
      <c r="EZU37" s="704"/>
      <c r="EZV37" s="704"/>
      <c r="EZW37" s="704"/>
      <c r="EZX37" s="704"/>
      <c r="EZY37" s="704"/>
      <c r="EZZ37" s="704"/>
      <c r="FAA37" s="704"/>
      <c r="FAB37" s="704"/>
      <c r="FAC37" s="704"/>
      <c r="FAD37" s="704"/>
      <c r="FAE37" s="704"/>
      <c r="FAF37" s="704"/>
      <c r="FAG37" s="704"/>
      <c r="FAH37" s="704"/>
      <c r="FAI37" s="704"/>
      <c r="FAJ37" s="704"/>
      <c r="FAK37" s="704"/>
      <c r="FAL37" s="704"/>
      <c r="FAM37" s="704"/>
      <c r="FAN37" s="704"/>
      <c r="FAO37" s="704"/>
      <c r="FAP37" s="704"/>
      <c r="FAQ37" s="704"/>
      <c r="FAR37" s="704"/>
      <c r="FAS37" s="704"/>
      <c r="FAT37" s="704"/>
      <c r="FAU37" s="704"/>
      <c r="FAV37" s="704"/>
      <c r="FAW37" s="704"/>
      <c r="FAX37" s="704"/>
      <c r="FAY37" s="704"/>
      <c r="FAZ37" s="704"/>
      <c r="FBA37" s="704"/>
      <c r="FBB37" s="704"/>
      <c r="FBC37" s="704"/>
      <c r="FBD37" s="704"/>
      <c r="FBE37" s="704"/>
      <c r="FBF37" s="704"/>
      <c r="FBG37" s="704"/>
      <c r="FBH37" s="704"/>
      <c r="FBI37" s="704"/>
      <c r="FBJ37" s="704"/>
      <c r="FBK37" s="704"/>
      <c r="FBL37" s="704"/>
      <c r="FBM37" s="704"/>
      <c r="FBN37" s="704"/>
      <c r="FBO37" s="704"/>
      <c r="FBP37" s="704"/>
      <c r="FBQ37" s="704"/>
      <c r="FBR37" s="704"/>
      <c r="FBS37" s="704"/>
      <c r="FBT37" s="704"/>
      <c r="FBU37" s="704"/>
      <c r="FBV37" s="704"/>
      <c r="FBW37" s="704"/>
      <c r="FBX37" s="704"/>
      <c r="FBY37" s="704"/>
      <c r="FBZ37" s="704"/>
      <c r="FCA37" s="704"/>
      <c r="FCB37" s="704"/>
      <c r="FCC37" s="704"/>
      <c r="FCD37" s="704"/>
      <c r="FCE37" s="704"/>
      <c r="FCF37" s="704"/>
      <c r="FCG37" s="704"/>
      <c r="FCH37" s="704"/>
      <c r="FCI37" s="704"/>
      <c r="FCJ37" s="704"/>
      <c r="FCK37" s="704"/>
      <c r="FCL37" s="704"/>
      <c r="FCM37" s="704"/>
      <c r="FCN37" s="704"/>
      <c r="FCO37" s="704"/>
      <c r="FCP37" s="704"/>
      <c r="FCQ37" s="704"/>
      <c r="FCR37" s="704"/>
      <c r="FCS37" s="704"/>
      <c r="FCT37" s="704"/>
      <c r="FCU37" s="704"/>
      <c r="FCV37" s="704"/>
      <c r="FCW37" s="704"/>
      <c r="FCX37" s="704"/>
      <c r="FCY37" s="704"/>
      <c r="FCZ37" s="704"/>
      <c r="FDA37" s="704"/>
      <c r="FDB37" s="704"/>
      <c r="FDC37" s="704"/>
      <c r="FDD37" s="704"/>
      <c r="FDE37" s="704"/>
      <c r="FDF37" s="704"/>
      <c r="FDG37" s="704"/>
      <c r="FDH37" s="704"/>
      <c r="FDI37" s="704"/>
      <c r="FDJ37" s="704"/>
      <c r="FDK37" s="704"/>
      <c r="FDL37" s="704"/>
      <c r="FDM37" s="704"/>
      <c r="FDN37" s="704"/>
      <c r="FDO37" s="704"/>
      <c r="FDP37" s="704"/>
      <c r="FDQ37" s="704"/>
      <c r="FDR37" s="704"/>
      <c r="FDS37" s="704"/>
      <c r="FDT37" s="704"/>
      <c r="FDU37" s="704"/>
      <c r="FDV37" s="704"/>
      <c r="FDW37" s="704"/>
      <c r="FDX37" s="704"/>
      <c r="FDY37" s="704"/>
      <c r="FDZ37" s="704"/>
      <c r="FEA37" s="704"/>
      <c r="FEB37" s="704"/>
      <c r="FEC37" s="704"/>
      <c r="FED37" s="704"/>
      <c r="FEE37" s="704"/>
      <c r="FEF37" s="704"/>
      <c r="FEG37" s="704"/>
      <c r="FEH37" s="704"/>
      <c r="FEI37" s="704"/>
      <c r="FEJ37" s="704"/>
      <c r="FEK37" s="704"/>
      <c r="FEL37" s="704"/>
      <c r="FEM37" s="704"/>
      <c r="FEN37" s="704"/>
      <c r="FEO37" s="704"/>
      <c r="FEP37" s="704"/>
      <c r="FEQ37" s="704"/>
      <c r="FER37" s="704"/>
      <c r="FES37" s="704"/>
      <c r="FET37" s="704"/>
      <c r="FEU37" s="704"/>
      <c r="FEV37" s="704"/>
      <c r="FEW37" s="704"/>
      <c r="FEX37" s="704"/>
      <c r="FEY37" s="704"/>
      <c r="FEZ37" s="704"/>
      <c r="FFA37" s="704"/>
      <c r="FFB37" s="704"/>
      <c r="FFC37" s="704"/>
      <c r="FFD37" s="704"/>
      <c r="FFE37" s="704"/>
      <c r="FFF37" s="704"/>
      <c r="FFG37" s="704"/>
      <c r="FFH37" s="704"/>
      <c r="FFI37" s="704"/>
      <c r="FFJ37" s="704"/>
      <c r="FFK37" s="704"/>
      <c r="FFL37" s="704"/>
      <c r="FFM37" s="704"/>
      <c r="FFN37" s="704"/>
      <c r="FFO37" s="704"/>
      <c r="FFP37" s="704"/>
      <c r="FFQ37" s="704"/>
      <c r="FFR37" s="704"/>
      <c r="FFS37" s="704"/>
      <c r="FFT37" s="704"/>
      <c r="FFU37" s="704"/>
      <c r="FFV37" s="704"/>
      <c r="FFW37" s="704"/>
      <c r="FFX37" s="704"/>
      <c r="FFY37" s="704"/>
      <c r="FFZ37" s="704"/>
      <c r="FGA37" s="704"/>
      <c r="FGB37" s="704"/>
      <c r="FGC37" s="704"/>
      <c r="FGD37" s="704"/>
      <c r="FGE37" s="704"/>
      <c r="FGF37" s="704"/>
      <c r="FGG37" s="704"/>
      <c r="FGH37" s="704"/>
      <c r="FGI37" s="704"/>
      <c r="FGJ37" s="704"/>
      <c r="FGK37" s="704"/>
      <c r="FGL37" s="704"/>
      <c r="FGM37" s="704"/>
      <c r="FGN37" s="704"/>
      <c r="FGO37" s="704"/>
      <c r="FGP37" s="704"/>
      <c r="FGQ37" s="704"/>
      <c r="FGR37" s="704"/>
      <c r="FGS37" s="704"/>
      <c r="FGT37" s="704"/>
      <c r="FGU37" s="704"/>
      <c r="FGV37" s="704"/>
      <c r="FGW37" s="704"/>
      <c r="FGX37" s="704"/>
      <c r="FGY37" s="704"/>
      <c r="FGZ37" s="704"/>
      <c r="FHA37" s="704"/>
      <c r="FHB37" s="704"/>
      <c r="FHC37" s="704"/>
      <c r="FHD37" s="704"/>
      <c r="FHE37" s="704"/>
      <c r="FHF37" s="704"/>
      <c r="FHG37" s="704"/>
      <c r="FHH37" s="704"/>
      <c r="FHI37" s="704"/>
      <c r="FHJ37" s="704"/>
      <c r="FHK37" s="704"/>
      <c r="FHL37" s="704"/>
      <c r="FHM37" s="704"/>
      <c r="FHN37" s="704"/>
      <c r="FHO37" s="704"/>
      <c r="FHP37" s="704"/>
      <c r="FHQ37" s="704"/>
      <c r="FHR37" s="704"/>
      <c r="FHS37" s="704"/>
      <c r="FHT37" s="704"/>
      <c r="FHU37" s="704"/>
      <c r="FHV37" s="704"/>
      <c r="FHW37" s="704"/>
      <c r="FHX37" s="704"/>
      <c r="FHY37" s="704"/>
      <c r="FHZ37" s="704"/>
      <c r="FIA37" s="704"/>
      <c r="FIB37" s="704"/>
      <c r="FIC37" s="704"/>
      <c r="FID37" s="704"/>
      <c r="FIE37" s="704"/>
      <c r="FIF37" s="704"/>
      <c r="FIG37" s="704"/>
      <c r="FIH37" s="704"/>
      <c r="FII37" s="704"/>
      <c r="FIJ37" s="704"/>
      <c r="FIK37" s="704"/>
      <c r="FIL37" s="704"/>
      <c r="FIM37" s="704"/>
      <c r="FIN37" s="704"/>
      <c r="FIO37" s="704"/>
      <c r="FIP37" s="704"/>
      <c r="FIQ37" s="704"/>
      <c r="FIR37" s="704"/>
      <c r="FIS37" s="704"/>
      <c r="FIT37" s="704"/>
      <c r="FIU37" s="704"/>
      <c r="FIV37" s="704"/>
      <c r="FIW37" s="704"/>
      <c r="FIX37" s="704"/>
      <c r="FIY37" s="704"/>
      <c r="FIZ37" s="704"/>
      <c r="FJA37" s="704"/>
      <c r="FJB37" s="704"/>
      <c r="FJC37" s="704"/>
      <c r="FJD37" s="704"/>
      <c r="FJE37" s="704"/>
      <c r="FJF37" s="704"/>
      <c r="FJG37" s="704"/>
      <c r="FJH37" s="704"/>
      <c r="FJI37" s="704"/>
      <c r="FJJ37" s="704"/>
      <c r="FJK37" s="704"/>
      <c r="FJL37" s="704"/>
      <c r="FJM37" s="704"/>
      <c r="FJN37" s="704"/>
      <c r="FJO37" s="704"/>
      <c r="FJP37" s="704"/>
      <c r="FJQ37" s="704"/>
      <c r="FJR37" s="704"/>
      <c r="FJS37" s="704"/>
      <c r="FJT37" s="704"/>
      <c r="FJU37" s="704"/>
      <c r="FJV37" s="704"/>
      <c r="FJW37" s="704"/>
      <c r="FJX37" s="704"/>
      <c r="FJY37" s="704"/>
      <c r="FJZ37" s="704"/>
      <c r="FKA37" s="704"/>
      <c r="FKB37" s="704"/>
      <c r="FKC37" s="704"/>
      <c r="FKD37" s="704"/>
      <c r="FKE37" s="704"/>
      <c r="FKF37" s="704"/>
      <c r="FKG37" s="704"/>
      <c r="FKH37" s="704"/>
      <c r="FKI37" s="704"/>
      <c r="FKJ37" s="704"/>
      <c r="FKK37" s="704"/>
      <c r="FKL37" s="704"/>
      <c r="FKM37" s="704"/>
      <c r="FKN37" s="704"/>
      <c r="FKO37" s="704"/>
      <c r="FKP37" s="704"/>
      <c r="FKQ37" s="704"/>
      <c r="FKR37" s="704"/>
      <c r="FKS37" s="704"/>
      <c r="FKT37" s="704"/>
      <c r="FKU37" s="704"/>
      <c r="FKV37" s="704"/>
      <c r="FKW37" s="704"/>
      <c r="FKX37" s="704"/>
      <c r="FKY37" s="704"/>
      <c r="FKZ37" s="704"/>
      <c r="FLA37" s="704"/>
      <c r="FLB37" s="704"/>
      <c r="FLC37" s="704"/>
      <c r="FLD37" s="704"/>
      <c r="FLE37" s="704"/>
      <c r="FLF37" s="704"/>
      <c r="FLG37" s="704"/>
      <c r="FLH37" s="704"/>
      <c r="FLI37" s="704"/>
      <c r="FLJ37" s="704"/>
      <c r="FLK37" s="704"/>
      <c r="FLL37" s="704"/>
      <c r="FLM37" s="704"/>
      <c r="FLN37" s="704"/>
      <c r="FLO37" s="704"/>
      <c r="FLP37" s="704"/>
      <c r="FLQ37" s="704"/>
      <c r="FLR37" s="704"/>
      <c r="FLS37" s="704"/>
      <c r="FLT37" s="704"/>
      <c r="FLU37" s="704"/>
      <c r="FLV37" s="704"/>
      <c r="FLW37" s="704"/>
      <c r="FLX37" s="704"/>
      <c r="FLY37" s="704"/>
      <c r="FLZ37" s="704"/>
      <c r="FMA37" s="704"/>
      <c r="FMB37" s="704"/>
      <c r="FMC37" s="704"/>
      <c r="FMD37" s="704"/>
      <c r="FME37" s="704"/>
      <c r="FMF37" s="704"/>
      <c r="FMG37" s="704"/>
      <c r="FMH37" s="704"/>
      <c r="FMI37" s="704"/>
      <c r="FMJ37" s="704"/>
      <c r="FMK37" s="704"/>
      <c r="FML37" s="704"/>
      <c r="FMM37" s="704"/>
      <c r="FMN37" s="704"/>
      <c r="FMO37" s="704"/>
      <c r="FMP37" s="704"/>
      <c r="FMQ37" s="704"/>
      <c r="FMR37" s="704"/>
      <c r="FMS37" s="704"/>
      <c r="FMT37" s="704"/>
      <c r="FMU37" s="704"/>
      <c r="FMV37" s="704"/>
      <c r="FMW37" s="704"/>
      <c r="FMX37" s="704"/>
      <c r="FMY37" s="704"/>
      <c r="FMZ37" s="704"/>
      <c r="FNA37" s="704"/>
      <c r="FNB37" s="704"/>
      <c r="FNC37" s="704"/>
      <c r="FND37" s="704"/>
      <c r="FNE37" s="704"/>
      <c r="FNF37" s="704"/>
      <c r="FNG37" s="704"/>
      <c r="FNH37" s="704"/>
      <c r="FNI37" s="704"/>
      <c r="FNJ37" s="704"/>
      <c r="FNK37" s="704"/>
      <c r="FNL37" s="704"/>
      <c r="FNM37" s="704"/>
      <c r="FNN37" s="704"/>
      <c r="FNO37" s="704"/>
      <c r="FNP37" s="704"/>
      <c r="FNQ37" s="704"/>
      <c r="FNR37" s="704"/>
      <c r="FNS37" s="704"/>
      <c r="FNT37" s="704"/>
      <c r="FNU37" s="704"/>
      <c r="FNV37" s="704"/>
      <c r="FNW37" s="704"/>
      <c r="FNX37" s="704"/>
      <c r="FNY37" s="704"/>
      <c r="FNZ37" s="704"/>
      <c r="FOA37" s="704"/>
      <c r="FOB37" s="704"/>
      <c r="FOC37" s="704"/>
      <c r="FOD37" s="704"/>
      <c r="FOE37" s="704"/>
      <c r="FOF37" s="704"/>
      <c r="FOG37" s="704"/>
      <c r="FOH37" s="704"/>
      <c r="FOI37" s="704"/>
      <c r="FOJ37" s="704"/>
      <c r="FOK37" s="704"/>
      <c r="FOL37" s="704"/>
      <c r="FOM37" s="704"/>
      <c r="FON37" s="704"/>
      <c r="FOO37" s="704"/>
      <c r="FOP37" s="704"/>
      <c r="FOQ37" s="704"/>
      <c r="FOR37" s="704"/>
      <c r="FOS37" s="704"/>
      <c r="FOT37" s="704"/>
      <c r="FOU37" s="704"/>
      <c r="FOV37" s="704"/>
      <c r="FOW37" s="704"/>
      <c r="FOX37" s="704"/>
      <c r="FOY37" s="704"/>
      <c r="FOZ37" s="704"/>
      <c r="FPA37" s="704"/>
      <c r="FPB37" s="704"/>
      <c r="FPC37" s="704"/>
      <c r="FPD37" s="704"/>
      <c r="FPE37" s="704"/>
      <c r="FPF37" s="704"/>
      <c r="FPG37" s="704"/>
      <c r="FPH37" s="704"/>
      <c r="FPI37" s="704"/>
      <c r="FPJ37" s="704"/>
      <c r="FPK37" s="704"/>
      <c r="FPL37" s="704"/>
      <c r="FPM37" s="704"/>
      <c r="FPN37" s="704"/>
      <c r="FPO37" s="704"/>
      <c r="FPP37" s="704"/>
      <c r="FPQ37" s="704"/>
      <c r="FPR37" s="704"/>
      <c r="FPS37" s="704"/>
      <c r="FPT37" s="704"/>
      <c r="FPU37" s="704"/>
      <c r="FPV37" s="704"/>
      <c r="FPW37" s="704"/>
      <c r="FPX37" s="704"/>
      <c r="FPY37" s="704"/>
      <c r="FPZ37" s="704"/>
      <c r="FQA37" s="704"/>
      <c r="FQB37" s="704"/>
      <c r="FQC37" s="704"/>
      <c r="FQD37" s="704"/>
      <c r="FQE37" s="704"/>
      <c r="FQF37" s="704"/>
      <c r="FQG37" s="704"/>
      <c r="FQH37" s="704"/>
      <c r="FQI37" s="704"/>
      <c r="FQJ37" s="704"/>
      <c r="FQK37" s="704"/>
      <c r="FQL37" s="704"/>
      <c r="FQM37" s="704"/>
      <c r="FQN37" s="704"/>
      <c r="FQO37" s="704"/>
      <c r="FQP37" s="704"/>
      <c r="FQQ37" s="704"/>
      <c r="FQR37" s="704"/>
      <c r="FQS37" s="704"/>
      <c r="FQT37" s="704"/>
      <c r="FQU37" s="704"/>
      <c r="FQV37" s="704"/>
      <c r="FQW37" s="704"/>
      <c r="FQX37" s="704"/>
      <c r="FQY37" s="704"/>
      <c r="FQZ37" s="704"/>
      <c r="FRA37" s="704"/>
      <c r="FRB37" s="704"/>
      <c r="FRC37" s="704"/>
      <c r="FRD37" s="704"/>
      <c r="FRE37" s="704"/>
      <c r="FRF37" s="704"/>
      <c r="FRG37" s="704"/>
      <c r="FRH37" s="704"/>
      <c r="FRI37" s="704"/>
      <c r="FRJ37" s="704"/>
      <c r="FRK37" s="704"/>
      <c r="FRL37" s="704"/>
      <c r="FRM37" s="704"/>
      <c r="FRN37" s="704"/>
      <c r="FRO37" s="704"/>
      <c r="FRP37" s="704"/>
      <c r="FRQ37" s="704"/>
      <c r="FRR37" s="704"/>
      <c r="FRS37" s="704"/>
      <c r="FRT37" s="704"/>
      <c r="FRU37" s="704"/>
      <c r="FRV37" s="704"/>
      <c r="FRW37" s="704"/>
      <c r="FRX37" s="704"/>
      <c r="FRY37" s="704"/>
      <c r="FRZ37" s="704"/>
      <c r="FSA37" s="704"/>
      <c r="FSB37" s="704"/>
      <c r="FSC37" s="704"/>
      <c r="FSD37" s="704"/>
      <c r="FSE37" s="704"/>
      <c r="FSF37" s="704"/>
      <c r="FSG37" s="704"/>
      <c r="FSH37" s="704"/>
      <c r="FSI37" s="704"/>
      <c r="FSJ37" s="704"/>
      <c r="FSK37" s="704"/>
      <c r="FSL37" s="704"/>
      <c r="FSM37" s="704"/>
      <c r="FSN37" s="704"/>
      <c r="FSO37" s="704"/>
      <c r="FSP37" s="704"/>
      <c r="FSQ37" s="704"/>
      <c r="FSR37" s="704"/>
      <c r="FSS37" s="704"/>
      <c r="FST37" s="704"/>
      <c r="FSU37" s="704"/>
      <c r="FSV37" s="704"/>
      <c r="FSW37" s="704"/>
      <c r="FSX37" s="704"/>
      <c r="FSY37" s="704"/>
      <c r="FSZ37" s="704"/>
      <c r="FTA37" s="704"/>
      <c r="FTB37" s="704"/>
      <c r="FTC37" s="704"/>
      <c r="FTD37" s="704"/>
      <c r="FTE37" s="704"/>
      <c r="FTF37" s="704"/>
      <c r="FTG37" s="704"/>
      <c r="FTH37" s="704"/>
      <c r="FTI37" s="704"/>
      <c r="FTJ37" s="704"/>
      <c r="FTK37" s="704"/>
      <c r="FTL37" s="704"/>
      <c r="FTM37" s="704"/>
      <c r="FTN37" s="704"/>
      <c r="FTO37" s="704"/>
      <c r="FTP37" s="704"/>
      <c r="FTQ37" s="704"/>
      <c r="FTR37" s="704"/>
      <c r="FTS37" s="704"/>
      <c r="FTT37" s="704"/>
      <c r="FTU37" s="704"/>
      <c r="FTV37" s="704"/>
      <c r="FTW37" s="704"/>
      <c r="FTX37" s="704"/>
      <c r="FTY37" s="704"/>
      <c r="FTZ37" s="704"/>
      <c r="FUA37" s="704"/>
      <c r="FUB37" s="704"/>
      <c r="FUC37" s="704"/>
      <c r="FUD37" s="704"/>
      <c r="FUE37" s="704"/>
      <c r="FUF37" s="704"/>
      <c r="FUG37" s="704"/>
      <c r="FUH37" s="704"/>
      <c r="FUI37" s="704"/>
      <c r="FUJ37" s="704"/>
      <c r="FUK37" s="704"/>
      <c r="FUL37" s="704"/>
      <c r="FUM37" s="704"/>
      <c r="FUN37" s="704"/>
      <c r="FUO37" s="704"/>
      <c r="FUP37" s="704"/>
      <c r="FUQ37" s="704"/>
      <c r="FUR37" s="704"/>
      <c r="FUS37" s="704"/>
      <c r="FUT37" s="704"/>
      <c r="FUU37" s="704"/>
      <c r="FUV37" s="704"/>
      <c r="FUW37" s="704"/>
      <c r="FUX37" s="704"/>
      <c r="FUY37" s="704"/>
      <c r="FUZ37" s="704"/>
      <c r="FVA37" s="704"/>
      <c r="FVB37" s="704"/>
      <c r="FVC37" s="704"/>
      <c r="FVD37" s="704"/>
      <c r="FVE37" s="704"/>
      <c r="FVF37" s="704"/>
      <c r="FVG37" s="704"/>
      <c r="FVH37" s="704"/>
      <c r="FVI37" s="704"/>
      <c r="FVJ37" s="704"/>
      <c r="FVK37" s="704"/>
      <c r="FVL37" s="704"/>
      <c r="FVM37" s="704"/>
      <c r="FVN37" s="704"/>
      <c r="FVO37" s="704"/>
      <c r="FVP37" s="704"/>
      <c r="FVQ37" s="704"/>
      <c r="FVR37" s="704"/>
      <c r="FVS37" s="704"/>
      <c r="FVT37" s="704"/>
      <c r="FVU37" s="704"/>
      <c r="FVV37" s="704"/>
      <c r="FVW37" s="704"/>
      <c r="FVX37" s="704"/>
      <c r="FVY37" s="704"/>
      <c r="FVZ37" s="704"/>
      <c r="FWA37" s="704"/>
      <c r="FWB37" s="704"/>
      <c r="FWC37" s="704"/>
      <c r="FWD37" s="704"/>
      <c r="FWE37" s="704"/>
      <c r="FWF37" s="704"/>
      <c r="FWG37" s="704"/>
      <c r="FWH37" s="704"/>
      <c r="FWI37" s="704"/>
      <c r="FWJ37" s="704"/>
      <c r="FWK37" s="704"/>
      <c r="FWL37" s="704"/>
      <c r="FWM37" s="704"/>
      <c r="FWN37" s="704"/>
      <c r="FWO37" s="704"/>
      <c r="FWP37" s="704"/>
      <c r="FWQ37" s="704"/>
      <c r="FWR37" s="704"/>
      <c r="FWS37" s="704"/>
      <c r="FWT37" s="704"/>
      <c r="FWU37" s="704"/>
      <c r="FWV37" s="704"/>
      <c r="FWW37" s="704"/>
      <c r="FWX37" s="704"/>
      <c r="FWY37" s="704"/>
      <c r="FWZ37" s="704"/>
      <c r="FXA37" s="704"/>
      <c r="FXB37" s="704"/>
      <c r="FXC37" s="704"/>
      <c r="FXD37" s="704"/>
      <c r="FXE37" s="704"/>
      <c r="FXF37" s="704"/>
      <c r="FXG37" s="704"/>
      <c r="FXH37" s="704"/>
      <c r="FXI37" s="704"/>
      <c r="FXJ37" s="704"/>
      <c r="FXK37" s="704"/>
      <c r="FXL37" s="704"/>
      <c r="FXM37" s="704"/>
      <c r="FXN37" s="704"/>
      <c r="FXO37" s="704"/>
      <c r="FXP37" s="704"/>
      <c r="FXQ37" s="704"/>
      <c r="FXR37" s="704"/>
      <c r="FXS37" s="704"/>
      <c r="FXT37" s="704"/>
      <c r="FXU37" s="704"/>
      <c r="FXV37" s="704"/>
      <c r="FXW37" s="704"/>
      <c r="FXX37" s="704"/>
      <c r="FXY37" s="704"/>
      <c r="FXZ37" s="704"/>
      <c r="FYA37" s="704"/>
      <c r="FYB37" s="704"/>
      <c r="FYC37" s="704"/>
      <c r="FYD37" s="704"/>
      <c r="FYE37" s="704"/>
      <c r="FYF37" s="704"/>
      <c r="FYG37" s="704"/>
      <c r="FYH37" s="704"/>
      <c r="FYI37" s="704"/>
      <c r="FYJ37" s="704"/>
      <c r="FYK37" s="704"/>
      <c r="FYL37" s="704"/>
      <c r="FYM37" s="704"/>
      <c r="FYN37" s="704"/>
      <c r="FYO37" s="704"/>
      <c r="FYP37" s="704"/>
      <c r="FYQ37" s="704"/>
      <c r="FYR37" s="704"/>
      <c r="FYS37" s="704"/>
      <c r="FYT37" s="704"/>
      <c r="FYU37" s="704"/>
      <c r="FYV37" s="704"/>
      <c r="FYW37" s="704"/>
      <c r="FYX37" s="704"/>
      <c r="FYY37" s="704"/>
      <c r="FYZ37" s="704"/>
      <c r="FZA37" s="704"/>
      <c r="FZB37" s="704"/>
      <c r="FZC37" s="704"/>
      <c r="FZD37" s="704"/>
      <c r="FZE37" s="704"/>
      <c r="FZF37" s="704"/>
      <c r="FZG37" s="704"/>
      <c r="FZH37" s="704"/>
      <c r="FZI37" s="704"/>
      <c r="FZJ37" s="704"/>
      <c r="FZK37" s="704"/>
      <c r="FZL37" s="704"/>
      <c r="FZM37" s="704"/>
      <c r="FZN37" s="704"/>
      <c r="FZO37" s="704"/>
      <c r="FZP37" s="704"/>
      <c r="FZQ37" s="704"/>
      <c r="FZR37" s="704"/>
      <c r="FZS37" s="704"/>
      <c r="FZT37" s="704"/>
      <c r="FZU37" s="704"/>
      <c r="FZV37" s="704"/>
      <c r="FZW37" s="704"/>
      <c r="FZX37" s="704"/>
      <c r="FZY37" s="704"/>
      <c r="FZZ37" s="704"/>
      <c r="GAA37" s="704"/>
      <c r="GAB37" s="704"/>
      <c r="GAC37" s="704"/>
      <c r="GAD37" s="704"/>
      <c r="GAE37" s="704"/>
      <c r="GAF37" s="704"/>
      <c r="GAG37" s="704"/>
      <c r="GAH37" s="704"/>
      <c r="GAI37" s="704"/>
      <c r="GAJ37" s="704"/>
      <c r="GAK37" s="704"/>
      <c r="GAL37" s="704"/>
      <c r="GAM37" s="704"/>
      <c r="GAN37" s="704"/>
      <c r="GAO37" s="704"/>
      <c r="GAP37" s="704"/>
      <c r="GAQ37" s="704"/>
      <c r="GAR37" s="704"/>
      <c r="GAS37" s="704"/>
      <c r="GAT37" s="704"/>
      <c r="GAU37" s="704"/>
      <c r="GAV37" s="704"/>
      <c r="GAW37" s="704"/>
      <c r="GAX37" s="704"/>
      <c r="GAY37" s="704"/>
      <c r="GAZ37" s="704"/>
      <c r="GBA37" s="704"/>
      <c r="GBB37" s="704"/>
      <c r="GBC37" s="704"/>
      <c r="GBD37" s="704"/>
      <c r="GBE37" s="704"/>
      <c r="GBF37" s="704"/>
      <c r="GBG37" s="704"/>
      <c r="GBH37" s="704"/>
      <c r="GBI37" s="704"/>
      <c r="GBJ37" s="704"/>
      <c r="GBK37" s="704"/>
      <c r="GBL37" s="704"/>
      <c r="GBM37" s="704"/>
      <c r="GBN37" s="704"/>
      <c r="GBO37" s="704"/>
      <c r="GBP37" s="704"/>
      <c r="GBQ37" s="704"/>
      <c r="GBR37" s="704"/>
      <c r="GBS37" s="704"/>
      <c r="GBT37" s="704"/>
      <c r="GBU37" s="704"/>
      <c r="GBV37" s="704"/>
      <c r="GBW37" s="704"/>
      <c r="GBX37" s="704"/>
      <c r="GBY37" s="704"/>
      <c r="GBZ37" s="704"/>
      <c r="GCA37" s="704"/>
      <c r="GCB37" s="704"/>
      <c r="GCC37" s="704"/>
      <c r="GCD37" s="704"/>
      <c r="GCE37" s="704"/>
      <c r="GCF37" s="704"/>
      <c r="GCG37" s="704"/>
      <c r="GCH37" s="704"/>
      <c r="GCI37" s="704"/>
      <c r="GCJ37" s="704"/>
      <c r="GCK37" s="704"/>
      <c r="GCL37" s="704"/>
      <c r="GCM37" s="704"/>
      <c r="GCN37" s="704"/>
      <c r="GCO37" s="704"/>
      <c r="GCP37" s="704"/>
      <c r="GCQ37" s="704"/>
      <c r="GCR37" s="704"/>
      <c r="GCS37" s="704"/>
      <c r="GCT37" s="704"/>
      <c r="GCU37" s="704"/>
      <c r="GCV37" s="704"/>
      <c r="GCW37" s="704"/>
      <c r="GCX37" s="704"/>
      <c r="GCY37" s="704"/>
      <c r="GCZ37" s="704"/>
      <c r="GDA37" s="704"/>
      <c r="GDB37" s="704"/>
      <c r="GDC37" s="704"/>
      <c r="GDD37" s="704"/>
      <c r="GDE37" s="704"/>
      <c r="GDF37" s="704"/>
      <c r="GDG37" s="704"/>
      <c r="GDH37" s="704"/>
      <c r="GDI37" s="704"/>
      <c r="GDJ37" s="704"/>
      <c r="GDK37" s="704"/>
      <c r="GDL37" s="704"/>
      <c r="GDM37" s="704"/>
      <c r="GDN37" s="704"/>
      <c r="GDO37" s="704"/>
      <c r="GDP37" s="704"/>
      <c r="GDQ37" s="704"/>
      <c r="GDR37" s="704"/>
      <c r="GDS37" s="704"/>
      <c r="GDT37" s="704"/>
      <c r="GDU37" s="704"/>
      <c r="GDV37" s="704"/>
      <c r="GDW37" s="704"/>
      <c r="GDX37" s="704"/>
      <c r="GDY37" s="704"/>
      <c r="GDZ37" s="704"/>
      <c r="GEA37" s="704"/>
      <c r="GEB37" s="704"/>
      <c r="GEC37" s="704"/>
      <c r="GED37" s="704"/>
      <c r="GEE37" s="704"/>
      <c r="GEF37" s="704"/>
      <c r="GEG37" s="704"/>
      <c r="GEH37" s="704"/>
      <c r="GEI37" s="704"/>
      <c r="GEJ37" s="704"/>
      <c r="GEK37" s="704"/>
      <c r="GEL37" s="704"/>
      <c r="GEM37" s="704"/>
      <c r="GEN37" s="704"/>
      <c r="GEO37" s="704"/>
      <c r="GEP37" s="704"/>
      <c r="GEQ37" s="704"/>
      <c r="GER37" s="704"/>
      <c r="GES37" s="704"/>
      <c r="GET37" s="704"/>
      <c r="GEU37" s="704"/>
      <c r="GEV37" s="704"/>
      <c r="GEW37" s="704"/>
      <c r="GEX37" s="704"/>
      <c r="GEY37" s="704"/>
      <c r="GEZ37" s="704"/>
      <c r="GFA37" s="704"/>
      <c r="GFB37" s="704"/>
      <c r="GFC37" s="704"/>
      <c r="GFD37" s="704"/>
      <c r="GFE37" s="704"/>
      <c r="GFF37" s="704"/>
      <c r="GFG37" s="704"/>
      <c r="GFH37" s="704"/>
      <c r="GFI37" s="704"/>
      <c r="GFJ37" s="704"/>
      <c r="GFK37" s="704"/>
      <c r="GFL37" s="704"/>
      <c r="GFM37" s="704"/>
      <c r="GFN37" s="704"/>
      <c r="GFO37" s="704"/>
      <c r="GFP37" s="704"/>
      <c r="GFQ37" s="704"/>
      <c r="GFR37" s="704"/>
      <c r="GFS37" s="704"/>
      <c r="GFT37" s="704"/>
      <c r="GFU37" s="704"/>
      <c r="GFV37" s="704"/>
      <c r="GFW37" s="704"/>
      <c r="GFX37" s="704"/>
      <c r="GFY37" s="704"/>
      <c r="GFZ37" s="704"/>
      <c r="GGA37" s="704"/>
      <c r="GGB37" s="704"/>
      <c r="GGC37" s="704"/>
      <c r="GGD37" s="704"/>
      <c r="GGE37" s="704"/>
      <c r="GGF37" s="704"/>
      <c r="GGG37" s="704"/>
      <c r="GGH37" s="704"/>
      <c r="GGI37" s="704"/>
      <c r="GGJ37" s="704"/>
      <c r="GGK37" s="704"/>
      <c r="GGL37" s="704"/>
      <c r="GGM37" s="704"/>
      <c r="GGN37" s="704"/>
      <c r="GGO37" s="704"/>
      <c r="GGP37" s="704"/>
      <c r="GGQ37" s="704"/>
      <c r="GGR37" s="704"/>
      <c r="GGS37" s="704"/>
      <c r="GGT37" s="704"/>
      <c r="GGU37" s="704"/>
      <c r="GGV37" s="704"/>
      <c r="GGW37" s="704"/>
      <c r="GGX37" s="704"/>
      <c r="GGY37" s="704"/>
      <c r="GGZ37" s="704"/>
      <c r="GHA37" s="704"/>
      <c r="GHB37" s="704"/>
      <c r="GHC37" s="704"/>
      <c r="GHD37" s="704"/>
      <c r="GHE37" s="704"/>
      <c r="GHF37" s="704"/>
      <c r="GHG37" s="704"/>
      <c r="GHH37" s="704"/>
      <c r="GHI37" s="704"/>
      <c r="GHJ37" s="704"/>
      <c r="GHK37" s="704"/>
      <c r="GHL37" s="704"/>
      <c r="GHM37" s="704"/>
      <c r="GHN37" s="704"/>
      <c r="GHO37" s="704"/>
      <c r="GHP37" s="704"/>
      <c r="GHQ37" s="704"/>
      <c r="GHR37" s="704"/>
      <c r="GHS37" s="704"/>
      <c r="GHT37" s="704"/>
      <c r="GHU37" s="704"/>
      <c r="GHV37" s="704"/>
      <c r="GHW37" s="704"/>
      <c r="GHX37" s="704"/>
      <c r="GHY37" s="704"/>
      <c r="GHZ37" s="704"/>
      <c r="GIA37" s="704"/>
      <c r="GIB37" s="704"/>
      <c r="GIC37" s="704"/>
      <c r="GID37" s="704"/>
      <c r="GIE37" s="704"/>
      <c r="GIF37" s="704"/>
      <c r="GIG37" s="704"/>
      <c r="GIH37" s="704"/>
      <c r="GII37" s="704"/>
      <c r="GIJ37" s="704"/>
      <c r="GIK37" s="704"/>
      <c r="GIL37" s="704"/>
      <c r="GIM37" s="704"/>
      <c r="GIN37" s="704"/>
      <c r="GIO37" s="704"/>
      <c r="GIP37" s="704"/>
      <c r="GIQ37" s="704"/>
      <c r="GIR37" s="704"/>
      <c r="GIS37" s="704"/>
      <c r="GIT37" s="704"/>
      <c r="GIU37" s="704"/>
      <c r="GIV37" s="704"/>
      <c r="GIW37" s="704"/>
      <c r="GIX37" s="704"/>
      <c r="GIY37" s="704"/>
      <c r="GIZ37" s="704"/>
      <c r="GJA37" s="704"/>
      <c r="GJB37" s="704"/>
      <c r="GJC37" s="704"/>
      <c r="GJD37" s="704"/>
      <c r="GJE37" s="704"/>
      <c r="GJF37" s="704"/>
      <c r="GJG37" s="704"/>
      <c r="GJH37" s="704"/>
      <c r="GJI37" s="704"/>
      <c r="GJJ37" s="704"/>
      <c r="GJK37" s="704"/>
      <c r="GJL37" s="704"/>
      <c r="GJM37" s="704"/>
      <c r="GJN37" s="704"/>
      <c r="GJO37" s="704"/>
      <c r="GJP37" s="704"/>
      <c r="GJQ37" s="704"/>
      <c r="GJR37" s="704"/>
      <c r="GJS37" s="704"/>
      <c r="GJT37" s="704"/>
      <c r="GJU37" s="704"/>
      <c r="GJV37" s="704"/>
      <c r="GJW37" s="704"/>
      <c r="GJX37" s="704"/>
      <c r="GJY37" s="704"/>
      <c r="GJZ37" s="704"/>
      <c r="GKA37" s="704"/>
      <c r="GKB37" s="704"/>
      <c r="GKC37" s="704"/>
      <c r="GKD37" s="704"/>
      <c r="GKE37" s="704"/>
      <c r="GKF37" s="704"/>
      <c r="GKG37" s="704"/>
      <c r="GKH37" s="704"/>
      <c r="GKI37" s="704"/>
      <c r="GKJ37" s="704"/>
      <c r="GKK37" s="704"/>
      <c r="GKL37" s="704"/>
      <c r="GKM37" s="704"/>
      <c r="GKN37" s="704"/>
      <c r="GKO37" s="704"/>
      <c r="GKP37" s="704"/>
      <c r="GKQ37" s="704"/>
      <c r="GKR37" s="704"/>
      <c r="GKS37" s="704"/>
      <c r="GKT37" s="704"/>
      <c r="GKU37" s="704"/>
      <c r="GKV37" s="704"/>
      <c r="GKW37" s="704"/>
      <c r="GKX37" s="704"/>
      <c r="GKY37" s="704"/>
      <c r="GKZ37" s="704"/>
      <c r="GLA37" s="704"/>
      <c r="GLB37" s="704"/>
      <c r="GLC37" s="704"/>
      <c r="GLD37" s="704"/>
      <c r="GLE37" s="704"/>
      <c r="GLF37" s="704"/>
      <c r="GLG37" s="704"/>
      <c r="GLH37" s="704"/>
      <c r="GLI37" s="704"/>
      <c r="GLJ37" s="704"/>
      <c r="GLK37" s="704"/>
      <c r="GLL37" s="704"/>
      <c r="GLM37" s="704"/>
      <c r="GLN37" s="704"/>
      <c r="GLO37" s="704"/>
      <c r="GLP37" s="704"/>
      <c r="GLQ37" s="704"/>
      <c r="GLR37" s="704"/>
      <c r="GLS37" s="704"/>
      <c r="GLT37" s="704"/>
      <c r="GLU37" s="704"/>
      <c r="GLV37" s="704"/>
      <c r="GLW37" s="704"/>
      <c r="GLX37" s="704"/>
      <c r="GLY37" s="704"/>
      <c r="GLZ37" s="704"/>
      <c r="GMA37" s="704"/>
      <c r="GMB37" s="704"/>
      <c r="GMC37" s="704"/>
      <c r="GMD37" s="704"/>
      <c r="GME37" s="704"/>
      <c r="GMF37" s="704"/>
      <c r="GMG37" s="704"/>
      <c r="GMH37" s="704"/>
      <c r="GMI37" s="704"/>
      <c r="GMJ37" s="704"/>
      <c r="GMK37" s="704"/>
      <c r="GML37" s="704"/>
      <c r="GMM37" s="704"/>
      <c r="GMN37" s="704"/>
      <c r="GMO37" s="704"/>
      <c r="GMP37" s="704"/>
      <c r="GMQ37" s="704"/>
      <c r="GMR37" s="704"/>
      <c r="GMS37" s="704"/>
      <c r="GMT37" s="704"/>
      <c r="GMU37" s="704"/>
      <c r="GMV37" s="704"/>
      <c r="GMW37" s="704"/>
      <c r="GMX37" s="704"/>
      <c r="GMY37" s="704"/>
      <c r="GMZ37" s="704"/>
      <c r="GNA37" s="704"/>
      <c r="GNB37" s="704"/>
      <c r="GNC37" s="704"/>
      <c r="GND37" s="704"/>
      <c r="GNE37" s="704"/>
      <c r="GNF37" s="704"/>
      <c r="GNG37" s="704"/>
      <c r="GNH37" s="704"/>
      <c r="GNI37" s="704"/>
      <c r="GNJ37" s="704"/>
      <c r="GNK37" s="704"/>
      <c r="GNL37" s="704"/>
      <c r="GNM37" s="704"/>
      <c r="GNN37" s="704"/>
      <c r="GNO37" s="704"/>
      <c r="GNP37" s="704"/>
      <c r="GNQ37" s="704"/>
      <c r="GNR37" s="704"/>
      <c r="GNS37" s="704"/>
      <c r="GNT37" s="704"/>
      <c r="GNU37" s="704"/>
      <c r="GNV37" s="704"/>
      <c r="GNW37" s="704"/>
      <c r="GNX37" s="704"/>
      <c r="GNY37" s="704"/>
      <c r="GNZ37" s="704"/>
      <c r="GOA37" s="704"/>
      <c r="GOB37" s="704"/>
      <c r="GOC37" s="704"/>
      <c r="GOD37" s="704"/>
      <c r="GOE37" s="704"/>
      <c r="GOF37" s="704"/>
      <c r="GOG37" s="704"/>
      <c r="GOH37" s="704"/>
      <c r="GOI37" s="704"/>
      <c r="GOJ37" s="704"/>
      <c r="GOK37" s="704"/>
      <c r="GOL37" s="704"/>
      <c r="GOM37" s="704"/>
      <c r="GON37" s="704"/>
      <c r="GOO37" s="704"/>
      <c r="GOP37" s="704"/>
      <c r="GOQ37" s="704"/>
      <c r="GOR37" s="704"/>
      <c r="GOS37" s="704"/>
      <c r="GOT37" s="704"/>
      <c r="GOU37" s="704"/>
      <c r="GOV37" s="704"/>
      <c r="GOW37" s="704"/>
      <c r="GOX37" s="704"/>
      <c r="GOY37" s="704"/>
      <c r="GOZ37" s="704"/>
      <c r="GPA37" s="704"/>
      <c r="GPB37" s="704"/>
      <c r="GPC37" s="704"/>
      <c r="GPD37" s="704"/>
      <c r="GPE37" s="704"/>
      <c r="GPF37" s="704"/>
      <c r="GPG37" s="704"/>
      <c r="GPH37" s="704"/>
      <c r="GPI37" s="704"/>
      <c r="GPJ37" s="704"/>
      <c r="GPK37" s="704"/>
      <c r="GPL37" s="704"/>
      <c r="GPM37" s="704"/>
      <c r="GPN37" s="704"/>
      <c r="GPO37" s="704"/>
      <c r="GPP37" s="704"/>
      <c r="GPQ37" s="704"/>
      <c r="GPR37" s="704"/>
      <c r="GPS37" s="704"/>
      <c r="GPT37" s="704"/>
      <c r="GPU37" s="704"/>
      <c r="GPV37" s="704"/>
      <c r="GPW37" s="704"/>
      <c r="GPX37" s="704"/>
      <c r="GPY37" s="704"/>
      <c r="GPZ37" s="704"/>
      <c r="GQA37" s="704"/>
      <c r="GQB37" s="704"/>
      <c r="GQC37" s="704"/>
      <c r="GQD37" s="704"/>
      <c r="GQE37" s="704"/>
      <c r="GQF37" s="704"/>
      <c r="GQG37" s="704"/>
      <c r="GQH37" s="704"/>
      <c r="GQI37" s="704"/>
      <c r="GQJ37" s="704"/>
      <c r="GQK37" s="704"/>
      <c r="GQL37" s="704"/>
      <c r="GQM37" s="704"/>
      <c r="GQN37" s="704"/>
      <c r="GQO37" s="704"/>
      <c r="GQP37" s="704"/>
      <c r="GQQ37" s="704"/>
      <c r="GQR37" s="704"/>
      <c r="GQS37" s="704"/>
      <c r="GQT37" s="704"/>
      <c r="GQU37" s="704"/>
      <c r="GQV37" s="704"/>
      <c r="GQW37" s="704"/>
      <c r="GQX37" s="704"/>
      <c r="GQY37" s="704"/>
      <c r="GQZ37" s="704"/>
      <c r="GRA37" s="704"/>
      <c r="GRB37" s="704"/>
      <c r="GRC37" s="704"/>
      <c r="GRD37" s="704"/>
      <c r="GRE37" s="704"/>
      <c r="GRF37" s="704"/>
      <c r="GRG37" s="704"/>
      <c r="GRH37" s="704"/>
      <c r="GRI37" s="704"/>
      <c r="GRJ37" s="704"/>
      <c r="GRK37" s="704"/>
      <c r="GRL37" s="704"/>
      <c r="GRM37" s="704"/>
      <c r="GRN37" s="704"/>
      <c r="GRO37" s="704"/>
      <c r="GRP37" s="704"/>
      <c r="GRQ37" s="704"/>
      <c r="GRR37" s="704"/>
      <c r="GRS37" s="704"/>
      <c r="GRT37" s="704"/>
      <c r="GRU37" s="704"/>
      <c r="GRV37" s="704"/>
      <c r="GRW37" s="704"/>
      <c r="GRX37" s="704"/>
      <c r="GRY37" s="704"/>
      <c r="GRZ37" s="704"/>
      <c r="GSA37" s="704"/>
      <c r="GSB37" s="704"/>
      <c r="GSC37" s="704"/>
      <c r="GSD37" s="704"/>
      <c r="GSE37" s="704"/>
      <c r="GSF37" s="704"/>
      <c r="GSG37" s="704"/>
      <c r="GSH37" s="704"/>
      <c r="GSI37" s="704"/>
      <c r="GSJ37" s="704"/>
      <c r="GSK37" s="704"/>
      <c r="GSL37" s="704"/>
      <c r="GSM37" s="704"/>
      <c r="GSN37" s="704"/>
      <c r="GSO37" s="704"/>
      <c r="GSP37" s="704"/>
      <c r="GSQ37" s="704"/>
      <c r="GSR37" s="704"/>
      <c r="GSS37" s="704"/>
      <c r="GST37" s="704"/>
      <c r="GSU37" s="704"/>
      <c r="GSV37" s="704"/>
      <c r="GSW37" s="704"/>
      <c r="GSX37" s="704"/>
      <c r="GSY37" s="704"/>
      <c r="GSZ37" s="704"/>
      <c r="GTA37" s="704"/>
      <c r="GTB37" s="704"/>
      <c r="GTC37" s="704"/>
      <c r="GTD37" s="704"/>
      <c r="GTE37" s="704"/>
      <c r="GTF37" s="704"/>
      <c r="GTG37" s="704"/>
      <c r="GTH37" s="704"/>
      <c r="GTI37" s="704"/>
      <c r="GTJ37" s="704"/>
      <c r="GTK37" s="704"/>
      <c r="GTL37" s="704"/>
      <c r="GTM37" s="704"/>
      <c r="GTN37" s="704"/>
      <c r="GTO37" s="704"/>
      <c r="GTP37" s="704"/>
      <c r="GTQ37" s="704"/>
      <c r="GTR37" s="704"/>
      <c r="GTS37" s="704"/>
      <c r="GTT37" s="704"/>
      <c r="GTU37" s="704"/>
      <c r="GTV37" s="704"/>
      <c r="GTW37" s="704"/>
      <c r="GTX37" s="704"/>
      <c r="GTY37" s="704"/>
      <c r="GTZ37" s="704"/>
      <c r="GUA37" s="704"/>
      <c r="GUB37" s="704"/>
      <c r="GUC37" s="704"/>
      <c r="GUD37" s="704"/>
      <c r="GUE37" s="704"/>
      <c r="GUF37" s="704"/>
      <c r="GUG37" s="704"/>
      <c r="GUH37" s="704"/>
      <c r="GUI37" s="704"/>
      <c r="GUJ37" s="704"/>
      <c r="GUK37" s="704"/>
      <c r="GUL37" s="704"/>
      <c r="GUM37" s="704"/>
      <c r="GUN37" s="704"/>
      <c r="GUO37" s="704"/>
      <c r="GUP37" s="704"/>
      <c r="GUQ37" s="704"/>
      <c r="GUR37" s="704"/>
      <c r="GUS37" s="704"/>
      <c r="GUT37" s="704"/>
      <c r="GUU37" s="704"/>
      <c r="GUV37" s="704"/>
      <c r="GUW37" s="704"/>
      <c r="GUX37" s="704"/>
      <c r="GUY37" s="704"/>
      <c r="GUZ37" s="704"/>
      <c r="GVA37" s="704"/>
      <c r="GVB37" s="704"/>
      <c r="GVC37" s="704"/>
      <c r="GVD37" s="704"/>
      <c r="GVE37" s="704"/>
      <c r="GVF37" s="704"/>
      <c r="GVG37" s="704"/>
      <c r="GVH37" s="704"/>
      <c r="GVI37" s="704"/>
      <c r="GVJ37" s="704"/>
      <c r="GVK37" s="704"/>
      <c r="GVL37" s="704"/>
      <c r="GVM37" s="704"/>
      <c r="GVN37" s="704"/>
      <c r="GVO37" s="704"/>
      <c r="GVP37" s="704"/>
      <c r="GVQ37" s="704"/>
      <c r="GVR37" s="704"/>
      <c r="GVS37" s="704"/>
      <c r="GVT37" s="704"/>
      <c r="GVU37" s="704"/>
      <c r="GVV37" s="704"/>
      <c r="GVW37" s="704"/>
      <c r="GVX37" s="704"/>
      <c r="GVY37" s="704"/>
      <c r="GVZ37" s="704"/>
      <c r="GWA37" s="704"/>
      <c r="GWB37" s="704"/>
      <c r="GWC37" s="704"/>
      <c r="GWD37" s="704"/>
      <c r="GWE37" s="704"/>
      <c r="GWF37" s="704"/>
      <c r="GWG37" s="704"/>
      <c r="GWH37" s="704"/>
      <c r="GWI37" s="704"/>
      <c r="GWJ37" s="704"/>
      <c r="GWK37" s="704"/>
      <c r="GWL37" s="704"/>
      <c r="GWM37" s="704"/>
      <c r="GWN37" s="704"/>
      <c r="GWO37" s="704"/>
      <c r="GWP37" s="704"/>
      <c r="GWQ37" s="704"/>
      <c r="GWR37" s="704"/>
      <c r="GWS37" s="704"/>
      <c r="GWT37" s="704"/>
      <c r="GWU37" s="704"/>
      <c r="GWV37" s="704"/>
      <c r="GWW37" s="704"/>
      <c r="GWX37" s="704"/>
      <c r="GWY37" s="704"/>
      <c r="GWZ37" s="704"/>
      <c r="GXA37" s="704"/>
      <c r="GXB37" s="704"/>
      <c r="GXC37" s="704"/>
      <c r="GXD37" s="704"/>
      <c r="GXE37" s="704"/>
      <c r="GXF37" s="704"/>
      <c r="GXG37" s="704"/>
      <c r="GXH37" s="704"/>
      <c r="GXI37" s="704"/>
      <c r="GXJ37" s="704"/>
      <c r="GXK37" s="704"/>
      <c r="GXL37" s="704"/>
      <c r="GXM37" s="704"/>
      <c r="GXN37" s="704"/>
      <c r="GXO37" s="704"/>
      <c r="GXP37" s="704"/>
      <c r="GXQ37" s="704"/>
      <c r="GXR37" s="704"/>
      <c r="GXS37" s="704"/>
      <c r="GXT37" s="704"/>
      <c r="GXU37" s="704"/>
      <c r="GXV37" s="704"/>
      <c r="GXW37" s="704"/>
      <c r="GXX37" s="704"/>
      <c r="GXY37" s="704"/>
      <c r="GXZ37" s="704"/>
      <c r="GYA37" s="704"/>
      <c r="GYB37" s="704"/>
      <c r="GYC37" s="704"/>
      <c r="GYD37" s="704"/>
      <c r="GYE37" s="704"/>
      <c r="GYF37" s="704"/>
      <c r="GYG37" s="704"/>
      <c r="GYH37" s="704"/>
      <c r="GYI37" s="704"/>
      <c r="GYJ37" s="704"/>
      <c r="GYK37" s="704"/>
      <c r="GYL37" s="704"/>
      <c r="GYM37" s="704"/>
      <c r="GYN37" s="704"/>
      <c r="GYO37" s="704"/>
      <c r="GYP37" s="704"/>
      <c r="GYQ37" s="704"/>
      <c r="GYR37" s="704"/>
      <c r="GYS37" s="704"/>
      <c r="GYT37" s="704"/>
      <c r="GYU37" s="704"/>
      <c r="GYV37" s="704"/>
      <c r="GYW37" s="704"/>
      <c r="GYX37" s="704"/>
      <c r="GYY37" s="704"/>
      <c r="GYZ37" s="704"/>
      <c r="GZA37" s="704"/>
      <c r="GZB37" s="704"/>
      <c r="GZC37" s="704"/>
      <c r="GZD37" s="704"/>
      <c r="GZE37" s="704"/>
      <c r="GZF37" s="704"/>
      <c r="GZG37" s="704"/>
      <c r="GZH37" s="704"/>
      <c r="GZI37" s="704"/>
      <c r="GZJ37" s="704"/>
      <c r="GZK37" s="704"/>
      <c r="GZL37" s="704"/>
      <c r="GZM37" s="704"/>
      <c r="GZN37" s="704"/>
      <c r="GZO37" s="704"/>
      <c r="GZP37" s="704"/>
      <c r="GZQ37" s="704"/>
      <c r="GZR37" s="704"/>
      <c r="GZS37" s="704"/>
      <c r="GZT37" s="704"/>
      <c r="GZU37" s="704"/>
      <c r="GZV37" s="704"/>
      <c r="GZW37" s="704"/>
      <c r="GZX37" s="704"/>
      <c r="GZY37" s="704"/>
      <c r="GZZ37" s="704"/>
      <c r="HAA37" s="704"/>
      <c r="HAB37" s="704"/>
      <c r="HAC37" s="704"/>
      <c r="HAD37" s="704"/>
      <c r="HAE37" s="704"/>
      <c r="HAF37" s="704"/>
      <c r="HAG37" s="704"/>
      <c r="HAH37" s="704"/>
      <c r="HAI37" s="704"/>
      <c r="HAJ37" s="704"/>
      <c r="HAK37" s="704"/>
      <c r="HAL37" s="704"/>
      <c r="HAM37" s="704"/>
      <c r="HAN37" s="704"/>
      <c r="HAO37" s="704"/>
      <c r="HAP37" s="704"/>
      <c r="HAQ37" s="704"/>
      <c r="HAR37" s="704"/>
      <c r="HAS37" s="704"/>
      <c r="HAT37" s="704"/>
      <c r="HAU37" s="704"/>
      <c r="HAV37" s="704"/>
      <c r="HAW37" s="704"/>
      <c r="HAX37" s="704"/>
      <c r="HAY37" s="704"/>
      <c r="HAZ37" s="704"/>
      <c r="HBA37" s="704"/>
      <c r="HBB37" s="704"/>
      <c r="HBC37" s="704"/>
      <c r="HBD37" s="704"/>
      <c r="HBE37" s="704"/>
      <c r="HBF37" s="704"/>
      <c r="HBG37" s="704"/>
      <c r="HBH37" s="704"/>
      <c r="HBI37" s="704"/>
      <c r="HBJ37" s="704"/>
      <c r="HBK37" s="704"/>
      <c r="HBL37" s="704"/>
      <c r="HBM37" s="704"/>
      <c r="HBN37" s="704"/>
      <c r="HBO37" s="704"/>
      <c r="HBP37" s="704"/>
      <c r="HBQ37" s="704"/>
      <c r="HBR37" s="704"/>
      <c r="HBS37" s="704"/>
      <c r="HBT37" s="704"/>
      <c r="HBU37" s="704"/>
      <c r="HBV37" s="704"/>
      <c r="HBW37" s="704"/>
      <c r="HBX37" s="704"/>
      <c r="HBY37" s="704"/>
      <c r="HBZ37" s="704"/>
      <c r="HCA37" s="704"/>
      <c r="HCB37" s="704"/>
      <c r="HCC37" s="704"/>
      <c r="HCD37" s="704"/>
      <c r="HCE37" s="704"/>
      <c r="HCF37" s="704"/>
      <c r="HCG37" s="704"/>
      <c r="HCH37" s="704"/>
      <c r="HCI37" s="704"/>
      <c r="HCJ37" s="704"/>
      <c r="HCK37" s="704"/>
      <c r="HCL37" s="704"/>
      <c r="HCM37" s="704"/>
      <c r="HCN37" s="704"/>
      <c r="HCO37" s="704"/>
      <c r="HCP37" s="704"/>
      <c r="HCQ37" s="704"/>
      <c r="HCR37" s="704"/>
      <c r="HCS37" s="704"/>
      <c r="HCT37" s="704"/>
      <c r="HCU37" s="704"/>
      <c r="HCV37" s="704"/>
      <c r="HCW37" s="704"/>
      <c r="HCX37" s="704"/>
      <c r="HCY37" s="704"/>
      <c r="HCZ37" s="704"/>
      <c r="HDA37" s="704"/>
      <c r="HDB37" s="704"/>
      <c r="HDC37" s="704"/>
      <c r="HDD37" s="704"/>
      <c r="HDE37" s="704"/>
      <c r="HDF37" s="704"/>
      <c r="HDG37" s="704"/>
      <c r="HDH37" s="704"/>
      <c r="HDI37" s="704"/>
      <c r="HDJ37" s="704"/>
      <c r="HDK37" s="704"/>
      <c r="HDL37" s="704"/>
      <c r="HDM37" s="704"/>
      <c r="HDN37" s="704"/>
      <c r="HDO37" s="704"/>
      <c r="HDP37" s="704"/>
      <c r="HDQ37" s="704"/>
      <c r="HDR37" s="704"/>
      <c r="HDS37" s="704"/>
      <c r="HDT37" s="704"/>
      <c r="HDU37" s="704"/>
      <c r="HDV37" s="704"/>
      <c r="HDW37" s="704"/>
      <c r="HDX37" s="704"/>
      <c r="HDY37" s="704"/>
      <c r="HDZ37" s="704"/>
      <c r="HEA37" s="704"/>
      <c r="HEB37" s="704"/>
      <c r="HEC37" s="704"/>
      <c r="HED37" s="704"/>
      <c r="HEE37" s="704"/>
      <c r="HEF37" s="704"/>
      <c r="HEG37" s="704"/>
      <c r="HEH37" s="704"/>
      <c r="HEI37" s="704"/>
      <c r="HEJ37" s="704"/>
      <c r="HEK37" s="704"/>
      <c r="HEL37" s="704"/>
      <c r="HEM37" s="704"/>
      <c r="HEN37" s="704"/>
      <c r="HEO37" s="704"/>
      <c r="HEP37" s="704"/>
      <c r="HEQ37" s="704"/>
      <c r="HER37" s="704"/>
      <c r="HES37" s="704"/>
      <c r="HET37" s="704"/>
      <c r="HEU37" s="704"/>
      <c r="HEV37" s="704"/>
      <c r="HEW37" s="704"/>
      <c r="HEX37" s="704"/>
      <c r="HEY37" s="704"/>
      <c r="HEZ37" s="704"/>
      <c r="HFA37" s="704"/>
      <c r="HFB37" s="704"/>
      <c r="HFC37" s="704"/>
      <c r="HFD37" s="704"/>
      <c r="HFE37" s="704"/>
      <c r="HFF37" s="704"/>
      <c r="HFG37" s="704"/>
      <c r="HFH37" s="704"/>
      <c r="HFI37" s="704"/>
      <c r="HFJ37" s="704"/>
      <c r="HFK37" s="704"/>
      <c r="HFL37" s="704"/>
      <c r="HFM37" s="704"/>
      <c r="HFN37" s="704"/>
      <c r="HFO37" s="704"/>
      <c r="HFP37" s="704"/>
      <c r="HFQ37" s="704"/>
      <c r="HFR37" s="704"/>
      <c r="HFS37" s="704"/>
      <c r="HFT37" s="704"/>
      <c r="HFU37" s="704"/>
      <c r="HFV37" s="704"/>
      <c r="HFW37" s="704"/>
      <c r="HFX37" s="704"/>
      <c r="HFY37" s="704"/>
      <c r="HFZ37" s="704"/>
      <c r="HGA37" s="704"/>
      <c r="HGB37" s="704"/>
      <c r="HGC37" s="704"/>
      <c r="HGD37" s="704"/>
      <c r="HGE37" s="704"/>
      <c r="HGF37" s="704"/>
      <c r="HGG37" s="704"/>
      <c r="HGH37" s="704"/>
      <c r="HGI37" s="704"/>
      <c r="HGJ37" s="704"/>
      <c r="HGK37" s="704"/>
      <c r="HGL37" s="704"/>
      <c r="HGM37" s="704"/>
      <c r="HGN37" s="704"/>
      <c r="HGO37" s="704"/>
      <c r="HGP37" s="704"/>
      <c r="HGQ37" s="704"/>
      <c r="HGR37" s="704"/>
      <c r="HGS37" s="704"/>
      <c r="HGT37" s="704"/>
      <c r="HGU37" s="704"/>
      <c r="HGV37" s="704"/>
      <c r="HGW37" s="704"/>
      <c r="HGX37" s="704"/>
      <c r="HGY37" s="704"/>
      <c r="HGZ37" s="704"/>
      <c r="HHA37" s="704"/>
      <c r="HHB37" s="704"/>
      <c r="HHC37" s="704"/>
      <c r="HHD37" s="704"/>
      <c r="HHE37" s="704"/>
      <c r="HHF37" s="704"/>
      <c r="HHG37" s="704"/>
      <c r="HHH37" s="704"/>
      <c r="HHI37" s="704"/>
      <c r="HHJ37" s="704"/>
      <c r="HHK37" s="704"/>
      <c r="HHL37" s="704"/>
      <c r="HHM37" s="704"/>
      <c r="HHN37" s="704"/>
      <c r="HHO37" s="704"/>
      <c r="HHP37" s="704"/>
      <c r="HHQ37" s="704"/>
      <c r="HHR37" s="704"/>
      <c r="HHS37" s="704"/>
      <c r="HHT37" s="704"/>
      <c r="HHU37" s="704"/>
      <c r="HHV37" s="704"/>
      <c r="HHW37" s="704"/>
      <c r="HHX37" s="704"/>
      <c r="HHY37" s="704"/>
      <c r="HHZ37" s="704"/>
      <c r="HIA37" s="704"/>
      <c r="HIB37" s="704"/>
      <c r="HIC37" s="704"/>
      <c r="HID37" s="704"/>
      <c r="HIE37" s="704"/>
      <c r="HIF37" s="704"/>
      <c r="HIG37" s="704"/>
      <c r="HIH37" s="704"/>
      <c r="HII37" s="704"/>
      <c r="HIJ37" s="704"/>
      <c r="HIK37" s="704"/>
      <c r="HIL37" s="704"/>
      <c r="HIM37" s="704"/>
      <c r="HIN37" s="704"/>
      <c r="HIO37" s="704"/>
      <c r="HIP37" s="704"/>
      <c r="HIQ37" s="704"/>
      <c r="HIR37" s="704"/>
      <c r="HIS37" s="704"/>
      <c r="HIT37" s="704"/>
      <c r="HIU37" s="704"/>
      <c r="HIV37" s="704"/>
      <c r="HIW37" s="704"/>
      <c r="HIX37" s="704"/>
      <c r="HIY37" s="704"/>
      <c r="HIZ37" s="704"/>
      <c r="HJA37" s="704"/>
      <c r="HJB37" s="704"/>
      <c r="HJC37" s="704"/>
      <c r="HJD37" s="704"/>
      <c r="HJE37" s="704"/>
      <c r="HJF37" s="704"/>
      <c r="HJG37" s="704"/>
      <c r="HJH37" s="704"/>
      <c r="HJI37" s="704"/>
      <c r="HJJ37" s="704"/>
      <c r="HJK37" s="704"/>
      <c r="HJL37" s="704"/>
      <c r="HJM37" s="704"/>
      <c r="HJN37" s="704"/>
      <c r="HJO37" s="704"/>
      <c r="HJP37" s="704"/>
      <c r="HJQ37" s="704"/>
      <c r="HJR37" s="704"/>
      <c r="HJS37" s="704"/>
      <c r="HJT37" s="704"/>
      <c r="HJU37" s="704"/>
      <c r="HJV37" s="704"/>
      <c r="HJW37" s="704"/>
      <c r="HJX37" s="704"/>
      <c r="HJY37" s="704"/>
      <c r="HJZ37" s="704"/>
      <c r="HKA37" s="704"/>
      <c r="HKB37" s="704"/>
      <c r="HKC37" s="704"/>
      <c r="HKD37" s="704"/>
      <c r="HKE37" s="704"/>
      <c r="HKF37" s="704"/>
      <c r="HKG37" s="704"/>
      <c r="HKH37" s="704"/>
      <c r="HKI37" s="704"/>
      <c r="HKJ37" s="704"/>
      <c r="HKK37" s="704"/>
      <c r="HKL37" s="704"/>
      <c r="HKM37" s="704"/>
      <c r="HKN37" s="704"/>
      <c r="HKO37" s="704"/>
      <c r="HKP37" s="704"/>
      <c r="HKQ37" s="704"/>
      <c r="HKR37" s="704"/>
      <c r="HKS37" s="704"/>
      <c r="HKT37" s="704"/>
      <c r="HKU37" s="704"/>
      <c r="HKV37" s="704"/>
      <c r="HKW37" s="704"/>
      <c r="HKX37" s="704"/>
      <c r="HKY37" s="704"/>
      <c r="HKZ37" s="704"/>
      <c r="HLA37" s="704"/>
      <c r="HLB37" s="704"/>
      <c r="HLC37" s="704"/>
      <c r="HLD37" s="704"/>
      <c r="HLE37" s="704"/>
      <c r="HLF37" s="704"/>
      <c r="HLG37" s="704"/>
      <c r="HLH37" s="704"/>
      <c r="HLI37" s="704"/>
      <c r="HLJ37" s="704"/>
      <c r="HLK37" s="704"/>
      <c r="HLL37" s="704"/>
      <c r="HLM37" s="704"/>
      <c r="HLN37" s="704"/>
      <c r="HLO37" s="704"/>
      <c r="HLP37" s="704"/>
      <c r="HLQ37" s="704"/>
      <c r="HLR37" s="704"/>
      <c r="HLS37" s="704"/>
      <c r="HLT37" s="704"/>
      <c r="HLU37" s="704"/>
      <c r="HLV37" s="704"/>
      <c r="HLW37" s="704"/>
      <c r="HLX37" s="704"/>
      <c r="HLY37" s="704"/>
      <c r="HLZ37" s="704"/>
      <c r="HMA37" s="704"/>
      <c r="HMB37" s="704"/>
      <c r="HMC37" s="704"/>
      <c r="HMD37" s="704"/>
      <c r="HME37" s="704"/>
      <c r="HMF37" s="704"/>
      <c r="HMG37" s="704"/>
      <c r="HMH37" s="704"/>
      <c r="HMI37" s="704"/>
      <c r="HMJ37" s="704"/>
      <c r="HMK37" s="704"/>
      <c r="HML37" s="704"/>
      <c r="HMM37" s="704"/>
      <c r="HMN37" s="704"/>
      <c r="HMO37" s="704"/>
      <c r="HMP37" s="704"/>
      <c r="HMQ37" s="704"/>
      <c r="HMR37" s="704"/>
      <c r="HMS37" s="704"/>
      <c r="HMT37" s="704"/>
      <c r="HMU37" s="704"/>
      <c r="HMV37" s="704"/>
      <c r="HMW37" s="704"/>
      <c r="HMX37" s="704"/>
      <c r="HMY37" s="704"/>
      <c r="HMZ37" s="704"/>
      <c r="HNA37" s="704"/>
      <c r="HNB37" s="704"/>
      <c r="HNC37" s="704"/>
      <c r="HND37" s="704"/>
      <c r="HNE37" s="704"/>
      <c r="HNF37" s="704"/>
      <c r="HNG37" s="704"/>
      <c r="HNH37" s="704"/>
      <c r="HNI37" s="704"/>
      <c r="HNJ37" s="704"/>
      <c r="HNK37" s="704"/>
      <c r="HNL37" s="704"/>
      <c r="HNM37" s="704"/>
      <c r="HNN37" s="704"/>
      <c r="HNO37" s="704"/>
      <c r="HNP37" s="704"/>
      <c r="HNQ37" s="704"/>
      <c r="HNR37" s="704"/>
      <c r="HNS37" s="704"/>
      <c r="HNT37" s="704"/>
      <c r="HNU37" s="704"/>
      <c r="HNV37" s="704"/>
      <c r="HNW37" s="704"/>
      <c r="HNX37" s="704"/>
      <c r="HNY37" s="704"/>
      <c r="HNZ37" s="704"/>
      <c r="HOA37" s="704"/>
      <c r="HOB37" s="704"/>
      <c r="HOC37" s="704"/>
      <c r="HOD37" s="704"/>
      <c r="HOE37" s="704"/>
      <c r="HOF37" s="704"/>
      <c r="HOG37" s="704"/>
      <c r="HOH37" s="704"/>
      <c r="HOI37" s="704"/>
      <c r="HOJ37" s="704"/>
      <c r="HOK37" s="704"/>
      <c r="HOL37" s="704"/>
      <c r="HOM37" s="704"/>
      <c r="HON37" s="704"/>
      <c r="HOO37" s="704"/>
      <c r="HOP37" s="704"/>
      <c r="HOQ37" s="704"/>
      <c r="HOR37" s="704"/>
      <c r="HOS37" s="704"/>
      <c r="HOT37" s="704"/>
      <c r="HOU37" s="704"/>
      <c r="HOV37" s="704"/>
      <c r="HOW37" s="704"/>
      <c r="HOX37" s="704"/>
      <c r="HOY37" s="704"/>
      <c r="HOZ37" s="704"/>
      <c r="HPA37" s="704"/>
      <c r="HPB37" s="704"/>
      <c r="HPC37" s="704"/>
      <c r="HPD37" s="704"/>
      <c r="HPE37" s="704"/>
      <c r="HPF37" s="704"/>
      <c r="HPG37" s="704"/>
      <c r="HPH37" s="704"/>
      <c r="HPI37" s="704"/>
      <c r="HPJ37" s="704"/>
      <c r="HPK37" s="704"/>
      <c r="HPL37" s="704"/>
      <c r="HPM37" s="704"/>
      <c r="HPN37" s="704"/>
      <c r="HPO37" s="704"/>
      <c r="HPP37" s="704"/>
      <c r="HPQ37" s="704"/>
      <c r="HPR37" s="704"/>
      <c r="HPS37" s="704"/>
      <c r="HPT37" s="704"/>
      <c r="HPU37" s="704"/>
      <c r="HPV37" s="704"/>
      <c r="HPW37" s="704"/>
      <c r="HPX37" s="704"/>
      <c r="HPY37" s="704"/>
      <c r="HPZ37" s="704"/>
      <c r="HQA37" s="704"/>
      <c r="HQB37" s="704"/>
      <c r="HQC37" s="704"/>
      <c r="HQD37" s="704"/>
      <c r="HQE37" s="704"/>
      <c r="HQF37" s="704"/>
      <c r="HQG37" s="704"/>
      <c r="HQH37" s="704"/>
      <c r="HQI37" s="704"/>
      <c r="HQJ37" s="704"/>
      <c r="HQK37" s="704"/>
      <c r="HQL37" s="704"/>
      <c r="HQM37" s="704"/>
      <c r="HQN37" s="704"/>
      <c r="HQO37" s="704"/>
      <c r="HQP37" s="704"/>
      <c r="HQQ37" s="704"/>
      <c r="HQR37" s="704"/>
      <c r="HQS37" s="704"/>
      <c r="HQT37" s="704"/>
      <c r="HQU37" s="704"/>
      <c r="HQV37" s="704"/>
      <c r="HQW37" s="704"/>
      <c r="HQX37" s="704"/>
      <c r="HQY37" s="704"/>
      <c r="HQZ37" s="704"/>
      <c r="HRA37" s="704"/>
      <c r="HRB37" s="704"/>
      <c r="HRC37" s="704"/>
      <c r="HRD37" s="704"/>
      <c r="HRE37" s="704"/>
      <c r="HRF37" s="704"/>
      <c r="HRG37" s="704"/>
      <c r="HRH37" s="704"/>
      <c r="HRI37" s="704"/>
      <c r="HRJ37" s="704"/>
      <c r="HRK37" s="704"/>
      <c r="HRL37" s="704"/>
      <c r="HRM37" s="704"/>
      <c r="HRN37" s="704"/>
      <c r="HRO37" s="704"/>
      <c r="HRP37" s="704"/>
      <c r="HRQ37" s="704"/>
      <c r="HRR37" s="704"/>
      <c r="HRS37" s="704"/>
      <c r="HRT37" s="704"/>
      <c r="HRU37" s="704"/>
      <c r="HRV37" s="704"/>
      <c r="HRW37" s="704"/>
      <c r="HRX37" s="704"/>
      <c r="HRY37" s="704"/>
      <c r="HRZ37" s="704"/>
      <c r="HSA37" s="704"/>
      <c r="HSB37" s="704"/>
      <c r="HSC37" s="704"/>
      <c r="HSD37" s="704"/>
      <c r="HSE37" s="704"/>
      <c r="HSF37" s="704"/>
      <c r="HSG37" s="704"/>
      <c r="HSH37" s="704"/>
      <c r="HSI37" s="704"/>
      <c r="HSJ37" s="704"/>
      <c r="HSK37" s="704"/>
      <c r="HSL37" s="704"/>
      <c r="HSM37" s="704"/>
      <c r="HSN37" s="704"/>
      <c r="HSO37" s="704"/>
      <c r="HSP37" s="704"/>
      <c r="HSQ37" s="704"/>
      <c r="HSR37" s="704"/>
      <c r="HSS37" s="704"/>
      <c r="HST37" s="704"/>
      <c r="HSU37" s="704"/>
      <c r="HSV37" s="704"/>
      <c r="HSW37" s="704"/>
      <c r="HSX37" s="704"/>
      <c r="HSY37" s="704"/>
      <c r="HSZ37" s="704"/>
      <c r="HTA37" s="704"/>
      <c r="HTB37" s="704"/>
      <c r="HTC37" s="704"/>
      <c r="HTD37" s="704"/>
      <c r="HTE37" s="704"/>
      <c r="HTF37" s="704"/>
      <c r="HTG37" s="704"/>
      <c r="HTH37" s="704"/>
      <c r="HTI37" s="704"/>
      <c r="HTJ37" s="704"/>
      <c r="HTK37" s="704"/>
      <c r="HTL37" s="704"/>
      <c r="HTM37" s="704"/>
      <c r="HTN37" s="704"/>
      <c r="HTO37" s="704"/>
      <c r="HTP37" s="704"/>
      <c r="HTQ37" s="704"/>
      <c r="HTR37" s="704"/>
      <c r="HTS37" s="704"/>
      <c r="HTT37" s="704"/>
      <c r="HTU37" s="704"/>
      <c r="HTV37" s="704"/>
      <c r="HTW37" s="704"/>
      <c r="HTX37" s="704"/>
      <c r="HTY37" s="704"/>
      <c r="HTZ37" s="704"/>
      <c r="HUA37" s="704"/>
      <c r="HUB37" s="704"/>
      <c r="HUC37" s="704"/>
      <c r="HUD37" s="704"/>
      <c r="HUE37" s="704"/>
      <c r="HUF37" s="704"/>
      <c r="HUG37" s="704"/>
      <c r="HUH37" s="704"/>
      <c r="HUI37" s="704"/>
      <c r="HUJ37" s="704"/>
      <c r="HUK37" s="704"/>
      <c r="HUL37" s="704"/>
      <c r="HUM37" s="704"/>
      <c r="HUN37" s="704"/>
      <c r="HUO37" s="704"/>
      <c r="HUP37" s="704"/>
      <c r="HUQ37" s="704"/>
      <c r="HUR37" s="704"/>
      <c r="HUS37" s="704"/>
      <c r="HUT37" s="704"/>
      <c r="HUU37" s="704"/>
      <c r="HUV37" s="704"/>
      <c r="HUW37" s="704"/>
      <c r="HUX37" s="704"/>
      <c r="HUY37" s="704"/>
      <c r="HUZ37" s="704"/>
      <c r="HVA37" s="704"/>
      <c r="HVB37" s="704"/>
      <c r="HVC37" s="704"/>
      <c r="HVD37" s="704"/>
      <c r="HVE37" s="704"/>
      <c r="HVF37" s="704"/>
      <c r="HVG37" s="704"/>
      <c r="HVH37" s="704"/>
      <c r="HVI37" s="704"/>
      <c r="HVJ37" s="704"/>
      <c r="HVK37" s="704"/>
      <c r="HVL37" s="704"/>
      <c r="HVM37" s="704"/>
      <c r="HVN37" s="704"/>
      <c r="HVO37" s="704"/>
      <c r="HVP37" s="704"/>
      <c r="HVQ37" s="704"/>
      <c r="HVR37" s="704"/>
      <c r="HVS37" s="704"/>
      <c r="HVT37" s="704"/>
      <c r="HVU37" s="704"/>
      <c r="HVV37" s="704"/>
      <c r="HVW37" s="704"/>
      <c r="HVX37" s="704"/>
      <c r="HVY37" s="704"/>
      <c r="HVZ37" s="704"/>
      <c r="HWA37" s="704"/>
      <c r="HWB37" s="704"/>
      <c r="HWC37" s="704"/>
      <c r="HWD37" s="704"/>
      <c r="HWE37" s="704"/>
      <c r="HWF37" s="704"/>
      <c r="HWG37" s="704"/>
      <c r="HWH37" s="704"/>
      <c r="HWI37" s="704"/>
      <c r="HWJ37" s="704"/>
      <c r="HWK37" s="704"/>
      <c r="HWL37" s="704"/>
      <c r="HWM37" s="704"/>
      <c r="HWN37" s="704"/>
      <c r="HWO37" s="704"/>
      <c r="HWP37" s="704"/>
      <c r="HWQ37" s="704"/>
      <c r="HWR37" s="704"/>
      <c r="HWS37" s="704"/>
      <c r="HWT37" s="704"/>
      <c r="HWU37" s="704"/>
      <c r="HWV37" s="704"/>
      <c r="HWW37" s="704"/>
      <c r="HWX37" s="704"/>
      <c r="HWY37" s="704"/>
      <c r="HWZ37" s="704"/>
      <c r="HXA37" s="704"/>
      <c r="HXB37" s="704"/>
      <c r="HXC37" s="704"/>
      <c r="HXD37" s="704"/>
      <c r="HXE37" s="704"/>
      <c r="HXF37" s="704"/>
      <c r="HXG37" s="704"/>
      <c r="HXH37" s="704"/>
      <c r="HXI37" s="704"/>
      <c r="HXJ37" s="704"/>
      <c r="HXK37" s="704"/>
      <c r="HXL37" s="704"/>
      <c r="HXM37" s="704"/>
      <c r="HXN37" s="704"/>
      <c r="HXO37" s="704"/>
      <c r="HXP37" s="704"/>
      <c r="HXQ37" s="704"/>
      <c r="HXR37" s="704"/>
      <c r="HXS37" s="704"/>
      <c r="HXT37" s="704"/>
      <c r="HXU37" s="704"/>
      <c r="HXV37" s="704"/>
      <c r="HXW37" s="704"/>
      <c r="HXX37" s="704"/>
      <c r="HXY37" s="704"/>
      <c r="HXZ37" s="704"/>
      <c r="HYA37" s="704"/>
      <c r="HYB37" s="704"/>
      <c r="HYC37" s="704"/>
      <c r="HYD37" s="704"/>
      <c r="HYE37" s="704"/>
      <c r="HYF37" s="704"/>
      <c r="HYG37" s="704"/>
      <c r="HYH37" s="704"/>
      <c r="HYI37" s="704"/>
      <c r="HYJ37" s="704"/>
      <c r="HYK37" s="704"/>
      <c r="HYL37" s="704"/>
      <c r="HYM37" s="704"/>
      <c r="HYN37" s="704"/>
      <c r="HYO37" s="704"/>
      <c r="HYP37" s="704"/>
      <c r="HYQ37" s="704"/>
      <c r="HYR37" s="704"/>
      <c r="HYS37" s="704"/>
      <c r="HYT37" s="704"/>
      <c r="HYU37" s="704"/>
      <c r="HYV37" s="704"/>
      <c r="HYW37" s="704"/>
      <c r="HYX37" s="704"/>
      <c r="HYY37" s="704"/>
      <c r="HYZ37" s="704"/>
      <c r="HZA37" s="704"/>
      <c r="HZB37" s="704"/>
      <c r="HZC37" s="704"/>
      <c r="HZD37" s="704"/>
      <c r="HZE37" s="704"/>
      <c r="HZF37" s="704"/>
      <c r="HZG37" s="704"/>
      <c r="HZH37" s="704"/>
      <c r="HZI37" s="704"/>
      <c r="HZJ37" s="704"/>
      <c r="HZK37" s="704"/>
      <c r="HZL37" s="704"/>
      <c r="HZM37" s="704"/>
      <c r="HZN37" s="704"/>
      <c r="HZO37" s="704"/>
      <c r="HZP37" s="704"/>
      <c r="HZQ37" s="704"/>
      <c r="HZR37" s="704"/>
      <c r="HZS37" s="704"/>
      <c r="HZT37" s="704"/>
      <c r="HZU37" s="704"/>
      <c r="HZV37" s="704"/>
      <c r="HZW37" s="704"/>
      <c r="HZX37" s="704"/>
      <c r="HZY37" s="704"/>
      <c r="HZZ37" s="704"/>
      <c r="IAA37" s="704"/>
      <c r="IAB37" s="704"/>
      <c r="IAC37" s="704"/>
      <c r="IAD37" s="704"/>
      <c r="IAE37" s="704"/>
      <c r="IAF37" s="704"/>
      <c r="IAG37" s="704"/>
      <c r="IAH37" s="704"/>
      <c r="IAI37" s="704"/>
      <c r="IAJ37" s="704"/>
      <c r="IAK37" s="704"/>
      <c r="IAL37" s="704"/>
      <c r="IAM37" s="704"/>
      <c r="IAN37" s="704"/>
      <c r="IAO37" s="704"/>
      <c r="IAP37" s="704"/>
      <c r="IAQ37" s="704"/>
      <c r="IAR37" s="704"/>
      <c r="IAS37" s="704"/>
      <c r="IAT37" s="704"/>
      <c r="IAU37" s="704"/>
      <c r="IAV37" s="704"/>
      <c r="IAW37" s="704"/>
      <c r="IAX37" s="704"/>
      <c r="IAY37" s="704"/>
      <c r="IAZ37" s="704"/>
      <c r="IBA37" s="704"/>
      <c r="IBB37" s="704"/>
      <c r="IBC37" s="704"/>
      <c r="IBD37" s="704"/>
      <c r="IBE37" s="704"/>
      <c r="IBF37" s="704"/>
      <c r="IBG37" s="704"/>
      <c r="IBH37" s="704"/>
      <c r="IBI37" s="704"/>
      <c r="IBJ37" s="704"/>
      <c r="IBK37" s="704"/>
      <c r="IBL37" s="704"/>
      <c r="IBM37" s="704"/>
      <c r="IBN37" s="704"/>
      <c r="IBO37" s="704"/>
      <c r="IBP37" s="704"/>
      <c r="IBQ37" s="704"/>
      <c r="IBR37" s="704"/>
      <c r="IBS37" s="704"/>
      <c r="IBT37" s="704"/>
      <c r="IBU37" s="704"/>
      <c r="IBV37" s="704"/>
      <c r="IBW37" s="704"/>
      <c r="IBX37" s="704"/>
      <c r="IBY37" s="704"/>
      <c r="IBZ37" s="704"/>
      <c r="ICA37" s="704"/>
      <c r="ICB37" s="704"/>
      <c r="ICC37" s="704"/>
      <c r="ICD37" s="704"/>
      <c r="ICE37" s="704"/>
      <c r="ICF37" s="704"/>
      <c r="ICG37" s="704"/>
      <c r="ICH37" s="704"/>
      <c r="ICI37" s="704"/>
      <c r="ICJ37" s="704"/>
      <c r="ICK37" s="704"/>
      <c r="ICL37" s="704"/>
      <c r="ICM37" s="704"/>
      <c r="ICN37" s="704"/>
      <c r="ICO37" s="704"/>
      <c r="ICP37" s="704"/>
      <c r="ICQ37" s="704"/>
      <c r="ICR37" s="704"/>
      <c r="ICS37" s="704"/>
      <c r="ICT37" s="704"/>
      <c r="ICU37" s="704"/>
      <c r="ICV37" s="704"/>
      <c r="ICW37" s="704"/>
      <c r="ICX37" s="704"/>
      <c r="ICY37" s="704"/>
      <c r="ICZ37" s="704"/>
      <c r="IDA37" s="704"/>
      <c r="IDB37" s="704"/>
      <c r="IDC37" s="704"/>
      <c r="IDD37" s="704"/>
      <c r="IDE37" s="704"/>
      <c r="IDF37" s="704"/>
      <c r="IDG37" s="704"/>
      <c r="IDH37" s="704"/>
      <c r="IDI37" s="704"/>
      <c r="IDJ37" s="704"/>
      <c r="IDK37" s="704"/>
      <c r="IDL37" s="704"/>
      <c r="IDM37" s="704"/>
      <c r="IDN37" s="704"/>
      <c r="IDO37" s="704"/>
      <c r="IDP37" s="704"/>
      <c r="IDQ37" s="704"/>
      <c r="IDR37" s="704"/>
      <c r="IDS37" s="704"/>
      <c r="IDT37" s="704"/>
      <c r="IDU37" s="704"/>
      <c r="IDV37" s="704"/>
      <c r="IDW37" s="704"/>
      <c r="IDX37" s="704"/>
      <c r="IDY37" s="704"/>
      <c r="IDZ37" s="704"/>
      <c r="IEA37" s="704"/>
      <c r="IEB37" s="704"/>
      <c r="IEC37" s="704"/>
      <c r="IED37" s="704"/>
      <c r="IEE37" s="704"/>
      <c r="IEF37" s="704"/>
      <c r="IEG37" s="704"/>
      <c r="IEH37" s="704"/>
      <c r="IEI37" s="704"/>
      <c r="IEJ37" s="704"/>
      <c r="IEK37" s="704"/>
      <c r="IEL37" s="704"/>
      <c r="IEM37" s="704"/>
      <c r="IEN37" s="704"/>
      <c r="IEO37" s="704"/>
      <c r="IEP37" s="704"/>
      <c r="IEQ37" s="704"/>
      <c r="IER37" s="704"/>
      <c r="IES37" s="704"/>
      <c r="IET37" s="704"/>
      <c r="IEU37" s="704"/>
      <c r="IEV37" s="704"/>
      <c r="IEW37" s="704"/>
      <c r="IEX37" s="704"/>
      <c r="IEY37" s="704"/>
      <c r="IEZ37" s="704"/>
      <c r="IFA37" s="704"/>
      <c r="IFB37" s="704"/>
      <c r="IFC37" s="704"/>
      <c r="IFD37" s="704"/>
      <c r="IFE37" s="704"/>
      <c r="IFF37" s="704"/>
      <c r="IFG37" s="704"/>
      <c r="IFH37" s="704"/>
      <c r="IFI37" s="704"/>
      <c r="IFJ37" s="704"/>
      <c r="IFK37" s="704"/>
      <c r="IFL37" s="704"/>
      <c r="IFM37" s="704"/>
      <c r="IFN37" s="704"/>
      <c r="IFO37" s="704"/>
      <c r="IFP37" s="704"/>
      <c r="IFQ37" s="704"/>
      <c r="IFR37" s="704"/>
      <c r="IFS37" s="704"/>
      <c r="IFT37" s="704"/>
      <c r="IFU37" s="704"/>
      <c r="IFV37" s="704"/>
      <c r="IFW37" s="704"/>
      <c r="IFX37" s="704"/>
      <c r="IFY37" s="704"/>
      <c r="IFZ37" s="704"/>
      <c r="IGA37" s="704"/>
      <c r="IGB37" s="704"/>
      <c r="IGC37" s="704"/>
      <c r="IGD37" s="704"/>
      <c r="IGE37" s="704"/>
      <c r="IGF37" s="704"/>
      <c r="IGG37" s="704"/>
      <c r="IGH37" s="704"/>
      <c r="IGI37" s="704"/>
      <c r="IGJ37" s="704"/>
      <c r="IGK37" s="704"/>
      <c r="IGL37" s="704"/>
      <c r="IGM37" s="704"/>
      <c r="IGN37" s="704"/>
      <c r="IGO37" s="704"/>
      <c r="IGP37" s="704"/>
      <c r="IGQ37" s="704"/>
      <c r="IGR37" s="704"/>
      <c r="IGS37" s="704"/>
      <c r="IGT37" s="704"/>
      <c r="IGU37" s="704"/>
      <c r="IGV37" s="704"/>
      <c r="IGW37" s="704"/>
      <c r="IGX37" s="704"/>
      <c r="IGY37" s="704"/>
      <c r="IGZ37" s="704"/>
      <c r="IHA37" s="704"/>
      <c r="IHB37" s="704"/>
      <c r="IHC37" s="704"/>
      <c r="IHD37" s="704"/>
      <c r="IHE37" s="704"/>
      <c r="IHF37" s="704"/>
      <c r="IHG37" s="704"/>
      <c r="IHH37" s="704"/>
      <c r="IHI37" s="704"/>
      <c r="IHJ37" s="704"/>
      <c r="IHK37" s="704"/>
      <c r="IHL37" s="704"/>
      <c r="IHM37" s="704"/>
      <c r="IHN37" s="704"/>
      <c r="IHO37" s="704"/>
      <c r="IHP37" s="704"/>
      <c r="IHQ37" s="704"/>
      <c r="IHR37" s="704"/>
      <c r="IHS37" s="704"/>
      <c r="IHT37" s="704"/>
      <c r="IHU37" s="704"/>
      <c r="IHV37" s="704"/>
      <c r="IHW37" s="704"/>
      <c r="IHX37" s="704"/>
      <c r="IHY37" s="704"/>
      <c r="IHZ37" s="704"/>
      <c r="IIA37" s="704"/>
      <c r="IIB37" s="704"/>
      <c r="IIC37" s="704"/>
      <c r="IID37" s="704"/>
      <c r="IIE37" s="704"/>
      <c r="IIF37" s="704"/>
      <c r="IIG37" s="704"/>
      <c r="IIH37" s="704"/>
      <c r="III37" s="704"/>
      <c r="IIJ37" s="704"/>
      <c r="IIK37" s="704"/>
      <c r="IIL37" s="704"/>
      <c r="IIM37" s="704"/>
      <c r="IIN37" s="704"/>
      <c r="IIO37" s="704"/>
      <c r="IIP37" s="704"/>
      <c r="IIQ37" s="704"/>
      <c r="IIR37" s="704"/>
      <c r="IIS37" s="704"/>
      <c r="IIT37" s="704"/>
      <c r="IIU37" s="704"/>
      <c r="IIV37" s="704"/>
      <c r="IIW37" s="704"/>
      <c r="IIX37" s="704"/>
      <c r="IIY37" s="704"/>
      <c r="IIZ37" s="704"/>
      <c r="IJA37" s="704"/>
      <c r="IJB37" s="704"/>
      <c r="IJC37" s="704"/>
      <c r="IJD37" s="704"/>
      <c r="IJE37" s="704"/>
      <c r="IJF37" s="704"/>
      <c r="IJG37" s="704"/>
      <c r="IJH37" s="704"/>
      <c r="IJI37" s="704"/>
      <c r="IJJ37" s="704"/>
      <c r="IJK37" s="704"/>
      <c r="IJL37" s="704"/>
      <c r="IJM37" s="704"/>
      <c r="IJN37" s="704"/>
      <c r="IJO37" s="704"/>
      <c r="IJP37" s="704"/>
      <c r="IJQ37" s="704"/>
      <c r="IJR37" s="704"/>
      <c r="IJS37" s="704"/>
      <c r="IJT37" s="704"/>
      <c r="IJU37" s="704"/>
      <c r="IJV37" s="704"/>
      <c r="IJW37" s="704"/>
      <c r="IJX37" s="704"/>
      <c r="IJY37" s="704"/>
      <c r="IJZ37" s="704"/>
      <c r="IKA37" s="704"/>
      <c r="IKB37" s="704"/>
      <c r="IKC37" s="704"/>
      <c r="IKD37" s="704"/>
      <c r="IKE37" s="704"/>
      <c r="IKF37" s="704"/>
      <c r="IKG37" s="704"/>
      <c r="IKH37" s="704"/>
      <c r="IKI37" s="704"/>
      <c r="IKJ37" s="704"/>
      <c r="IKK37" s="704"/>
      <c r="IKL37" s="704"/>
      <c r="IKM37" s="704"/>
      <c r="IKN37" s="704"/>
      <c r="IKO37" s="704"/>
      <c r="IKP37" s="704"/>
      <c r="IKQ37" s="704"/>
      <c r="IKR37" s="704"/>
      <c r="IKS37" s="704"/>
      <c r="IKT37" s="704"/>
      <c r="IKU37" s="704"/>
      <c r="IKV37" s="704"/>
      <c r="IKW37" s="704"/>
      <c r="IKX37" s="704"/>
      <c r="IKY37" s="704"/>
      <c r="IKZ37" s="704"/>
      <c r="ILA37" s="704"/>
      <c r="ILB37" s="704"/>
      <c r="ILC37" s="704"/>
      <c r="ILD37" s="704"/>
      <c r="ILE37" s="704"/>
      <c r="ILF37" s="704"/>
      <c r="ILG37" s="704"/>
      <c r="ILH37" s="704"/>
      <c r="ILI37" s="704"/>
      <c r="ILJ37" s="704"/>
      <c r="ILK37" s="704"/>
      <c r="ILL37" s="704"/>
      <c r="ILM37" s="704"/>
      <c r="ILN37" s="704"/>
      <c r="ILO37" s="704"/>
      <c r="ILP37" s="704"/>
      <c r="ILQ37" s="704"/>
      <c r="ILR37" s="704"/>
      <c r="ILS37" s="704"/>
      <c r="ILT37" s="704"/>
      <c r="ILU37" s="704"/>
      <c r="ILV37" s="704"/>
      <c r="ILW37" s="704"/>
      <c r="ILX37" s="704"/>
      <c r="ILY37" s="704"/>
      <c r="ILZ37" s="704"/>
      <c r="IMA37" s="704"/>
      <c r="IMB37" s="704"/>
      <c r="IMC37" s="704"/>
      <c r="IMD37" s="704"/>
      <c r="IME37" s="704"/>
      <c r="IMF37" s="704"/>
      <c r="IMG37" s="704"/>
      <c r="IMH37" s="704"/>
      <c r="IMI37" s="704"/>
      <c r="IMJ37" s="704"/>
      <c r="IMK37" s="704"/>
      <c r="IML37" s="704"/>
      <c r="IMM37" s="704"/>
      <c r="IMN37" s="704"/>
      <c r="IMO37" s="704"/>
      <c r="IMP37" s="704"/>
      <c r="IMQ37" s="704"/>
      <c r="IMR37" s="704"/>
      <c r="IMS37" s="704"/>
      <c r="IMT37" s="704"/>
      <c r="IMU37" s="704"/>
      <c r="IMV37" s="704"/>
      <c r="IMW37" s="704"/>
      <c r="IMX37" s="704"/>
      <c r="IMY37" s="704"/>
      <c r="IMZ37" s="704"/>
      <c r="INA37" s="704"/>
      <c r="INB37" s="704"/>
      <c r="INC37" s="704"/>
      <c r="IND37" s="704"/>
      <c r="INE37" s="704"/>
      <c r="INF37" s="704"/>
      <c r="ING37" s="704"/>
      <c r="INH37" s="704"/>
      <c r="INI37" s="704"/>
      <c r="INJ37" s="704"/>
      <c r="INK37" s="704"/>
      <c r="INL37" s="704"/>
      <c r="INM37" s="704"/>
      <c r="INN37" s="704"/>
      <c r="INO37" s="704"/>
      <c r="INP37" s="704"/>
      <c r="INQ37" s="704"/>
      <c r="INR37" s="704"/>
      <c r="INS37" s="704"/>
      <c r="INT37" s="704"/>
      <c r="INU37" s="704"/>
      <c r="INV37" s="704"/>
      <c r="INW37" s="704"/>
      <c r="INX37" s="704"/>
      <c r="INY37" s="704"/>
      <c r="INZ37" s="704"/>
      <c r="IOA37" s="704"/>
      <c r="IOB37" s="704"/>
      <c r="IOC37" s="704"/>
      <c r="IOD37" s="704"/>
      <c r="IOE37" s="704"/>
      <c r="IOF37" s="704"/>
      <c r="IOG37" s="704"/>
      <c r="IOH37" s="704"/>
      <c r="IOI37" s="704"/>
      <c r="IOJ37" s="704"/>
      <c r="IOK37" s="704"/>
      <c r="IOL37" s="704"/>
      <c r="IOM37" s="704"/>
      <c r="ION37" s="704"/>
      <c r="IOO37" s="704"/>
      <c r="IOP37" s="704"/>
      <c r="IOQ37" s="704"/>
      <c r="IOR37" s="704"/>
      <c r="IOS37" s="704"/>
      <c r="IOT37" s="704"/>
      <c r="IOU37" s="704"/>
      <c r="IOV37" s="704"/>
      <c r="IOW37" s="704"/>
      <c r="IOX37" s="704"/>
      <c r="IOY37" s="704"/>
      <c r="IOZ37" s="704"/>
      <c r="IPA37" s="704"/>
      <c r="IPB37" s="704"/>
      <c r="IPC37" s="704"/>
      <c r="IPD37" s="704"/>
      <c r="IPE37" s="704"/>
      <c r="IPF37" s="704"/>
      <c r="IPG37" s="704"/>
      <c r="IPH37" s="704"/>
      <c r="IPI37" s="704"/>
      <c r="IPJ37" s="704"/>
      <c r="IPK37" s="704"/>
      <c r="IPL37" s="704"/>
      <c r="IPM37" s="704"/>
      <c r="IPN37" s="704"/>
      <c r="IPO37" s="704"/>
      <c r="IPP37" s="704"/>
      <c r="IPQ37" s="704"/>
      <c r="IPR37" s="704"/>
      <c r="IPS37" s="704"/>
      <c r="IPT37" s="704"/>
      <c r="IPU37" s="704"/>
      <c r="IPV37" s="704"/>
      <c r="IPW37" s="704"/>
      <c r="IPX37" s="704"/>
      <c r="IPY37" s="704"/>
      <c r="IPZ37" s="704"/>
      <c r="IQA37" s="704"/>
      <c r="IQB37" s="704"/>
      <c r="IQC37" s="704"/>
      <c r="IQD37" s="704"/>
      <c r="IQE37" s="704"/>
      <c r="IQF37" s="704"/>
      <c r="IQG37" s="704"/>
      <c r="IQH37" s="704"/>
      <c r="IQI37" s="704"/>
      <c r="IQJ37" s="704"/>
      <c r="IQK37" s="704"/>
      <c r="IQL37" s="704"/>
      <c r="IQM37" s="704"/>
      <c r="IQN37" s="704"/>
      <c r="IQO37" s="704"/>
      <c r="IQP37" s="704"/>
      <c r="IQQ37" s="704"/>
      <c r="IQR37" s="704"/>
      <c r="IQS37" s="704"/>
      <c r="IQT37" s="704"/>
      <c r="IQU37" s="704"/>
      <c r="IQV37" s="704"/>
      <c r="IQW37" s="704"/>
      <c r="IQX37" s="704"/>
      <c r="IQY37" s="704"/>
      <c r="IQZ37" s="704"/>
      <c r="IRA37" s="704"/>
      <c r="IRB37" s="704"/>
      <c r="IRC37" s="704"/>
      <c r="IRD37" s="704"/>
      <c r="IRE37" s="704"/>
      <c r="IRF37" s="704"/>
      <c r="IRG37" s="704"/>
      <c r="IRH37" s="704"/>
      <c r="IRI37" s="704"/>
      <c r="IRJ37" s="704"/>
      <c r="IRK37" s="704"/>
      <c r="IRL37" s="704"/>
      <c r="IRM37" s="704"/>
      <c r="IRN37" s="704"/>
      <c r="IRO37" s="704"/>
      <c r="IRP37" s="704"/>
      <c r="IRQ37" s="704"/>
      <c r="IRR37" s="704"/>
      <c r="IRS37" s="704"/>
      <c r="IRT37" s="704"/>
      <c r="IRU37" s="704"/>
      <c r="IRV37" s="704"/>
      <c r="IRW37" s="704"/>
      <c r="IRX37" s="704"/>
      <c r="IRY37" s="704"/>
      <c r="IRZ37" s="704"/>
      <c r="ISA37" s="704"/>
      <c r="ISB37" s="704"/>
      <c r="ISC37" s="704"/>
      <c r="ISD37" s="704"/>
      <c r="ISE37" s="704"/>
      <c r="ISF37" s="704"/>
      <c r="ISG37" s="704"/>
      <c r="ISH37" s="704"/>
      <c r="ISI37" s="704"/>
      <c r="ISJ37" s="704"/>
      <c r="ISK37" s="704"/>
      <c r="ISL37" s="704"/>
      <c r="ISM37" s="704"/>
      <c r="ISN37" s="704"/>
      <c r="ISO37" s="704"/>
      <c r="ISP37" s="704"/>
      <c r="ISQ37" s="704"/>
      <c r="ISR37" s="704"/>
      <c r="ISS37" s="704"/>
      <c r="IST37" s="704"/>
      <c r="ISU37" s="704"/>
      <c r="ISV37" s="704"/>
      <c r="ISW37" s="704"/>
      <c r="ISX37" s="704"/>
      <c r="ISY37" s="704"/>
      <c r="ISZ37" s="704"/>
      <c r="ITA37" s="704"/>
      <c r="ITB37" s="704"/>
      <c r="ITC37" s="704"/>
      <c r="ITD37" s="704"/>
      <c r="ITE37" s="704"/>
      <c r="ITF37" s="704"/>
      <c r="ITG37" s="704"/>
      <c r="ITH37" s="704"/>
      <c r="ITI37" s="704"/>
      <c r="ITJ37" s="704"/>
      <c r="ITK37" s="704"/>
      <c r="ITL37" s="704"/>
      <c r="ITM37" s="704"/>
      <c r="ITN37" s="704"/>
      <c r="ITO37" s="704"/>
      <c r="ITP37" s="704"/>
      <c r="ITQ37" s="704"/>
      <c r="ITR37" s="704"/>
      <c r="ITS37" s="704"/>
      <c r="ITT37" s="704"/>
      <c r="ITU37" s="704"/>
      <c r="ITV37" s="704"/>
      <c r="ITW37" s="704"/>
      <c r="ITX37" s="704"/>
      <c r="ITY37" s="704"/>
      <c r="ITZ37" s="704"/>
      <c r="IUA37" s="704"/>
      <c r="IUB37" s="704"/>
      <c r="IUC37" s="704"/>
      <c r="IUD37" s="704"/>
      <c r="IUE37" s="704"/>
      <c r="IUF37" s="704"/>
      <c r="IUG37" s="704"/>
      <c r="IUH37" s="704"/>
      <c r="IUI37" s="704"/>
      <c r="IUJ37" s="704"/>
      <c r="IUK37" s="704"/>
      <c r="IUL37" s="704"/>
      <c r="IUM37" s="704"/>
      <c r="IUN37" s="704"/>
      <c r="IUO37" s="704"/>
      <c r="IUP37" s="704"/>
      <c r="IUQ37" s="704"/>
      <c r="IUR37" s="704"/>
      <c r="IUS37" s="704"/>
      <c r="IUT37" s="704"/>
      <c r="IUU37" s="704"/>
      <c r="IUV37" s="704"/>
      <c r="IUW37" s="704"/>
      <c r="IUX37" s="704"/>
      <c r="IUY37" s="704"/>
      <c r="IUZ37" s="704"/>
      <c r="IVA37" s="704"/>
      <c r="IVB37" s="704"/>
      <c r="IVC37" s="704"/>
      <c r="IVD37" s="704"/>
      <c r="IVE37" s="704"/>
      <c r="IVF37" s="704"/>
      <c r="IVG37" s="704"/>
      <c r="IVH37" s="704"/>
      <c r="IVI37" s="704"/>
      <c r="IVJ37" s="704"/>
      <c r="IVK37" s="704"/>
      <c r="IVL37" s="704"/>
      <c r="IVM37" s="704"/>
      <c r="IVN37" s="704"/>
      <c r="IVO37" s="704"/>
      <c r="IVP37" s="704"/>
      <c r="IVQ37" s="704"/>
      <c r="IVR37" s="704"/>
      <c r="IVS37" s="704"/>
      <c r="IVT37" s="704"/>
      <c r="IVU37" s="704"/>
      <c r="IVV37" s="704"/>
      <c r="IVW37" s="704"/>
      <c r="IVX37" s="704"/>
      <c r="IVY37" s="704"/>
      <c r="IVZ37" s="704"/>
      <c r="IWA37" s="704"/>
      <c r="IWB37" s="704"/>
      <c r="IWC37" s="704"/>
      <c r="IWD37" s="704"/>
      <c r="IWE37" s="704"/>
      <c r="IWF37" s="704"/>
      <c r="IWG37" s="704"/>
      <c r="IWH37" s="704"/>
      <c r="IWI37" s="704"/>
      <c r="IWJ37" s="704"/>
      <c r="IWK37" s="704"/>
      <c r="IWL37" s="704"/>
      <c r="IWM37" s="704"/>
      <c r="IWN37" s="704"/>
      <c r="IWO37" s="704"/>
      <c r="IWP37" s="704"/>
      <c r="IWQ37" s="704"/>
      <c r="IWR37" s="704"/>
      <c r="IWS37" s="704"/>
      <c r="IWT37" s="704"/>
      <c r="IWU37" s="704"/>
      <c r="IWV37" s="704"/>
      <c r="IWW37" s="704"/>
      <c r="IWX37" s="704"/>
      <c r="IWY37" s="704"/>
      <c r="IWZ37" s="704"/>
      <c r="IXA37" s="704"/>
      <c r="IXB37" s="704"/>
      <c r="IXC37" s="704"/>
      <c r="IXD37" s="704"/>
      <c r="IXE37" s="704"/>
      <c r="IXF37" s="704"/>
      <c r="IXG37" s="704"/>
      <c r="IXH37" s="704"/>
      <c r="IXI37" s="704"/>
      <c r="IXJ37" s="704"/>
      <c r="IXK37" s="704"/>
      <c r="IXL37" s="704"/>
      <c r="IXM37" s="704"/>
      <c r="IXN37" s="704"/>
      <c r="IXO37" s="704"/>
      <c r="IXP37" s="704"/>
      <c r="IXQ37" s="704"/>
      <c r="IXR37" s="704"/>
      <c r="IXS37" s="704"/>
      <c r="IXT37" s="704"/>
      <c r="IXU37" s="704"/>
      <c r="IXV37" s="704"/>
      <c r="IXW37" s="704"/>
      <c r="IXX37" s="704"/>
      <c r="IXY37" s="704"/>
      <c r="IXZ37" s="704"/>
      <c r="IYA37" s="704"/>
      <c r="IYB37" s="704"/>
      <c r="IYC37" s="704"/>
      <c r="IYD37" s="704"/>
      <c r="IYE37" s="704"/>
      <c r="IYF37" s="704"/>
      <c r="IYG37" s="704"/>
      <c r="IYH37" s="704"/>
      <c r="IYI37" s="704"/>
      <c r="IYJ37" s="704"/>
      <c r="IYK37" s="704"/>
      <c r="IYL37" s="704"/>
      <c r="IYM37" s="704"/>
      <c r="IYN37" s="704"/>
      <c r="IYO37" s="704"/>
      <c r="IYP37" s="704"/>
      <c r="IYQ37" s="704"/>
      <c r="IYR37" s="704"/>
      <c r="IYS37" s="704"/>
      <c r="IYT37" s="704"/>
      <c r="IYU37" s="704"/>
      <c r="IYV37" s="704"/>
      <c r="IYW37" s="704"/>
      <c r="IYX37" s="704"/>
      <c r="IYY37" s="704"/>
      <c r="IYZ37" s="704"/>
      <c r="IZA37" s="704"/>
      <c r="IZB37" s="704"/>
      <c r="IZC37" s="704"/>
      <c r="IZD37" s="704"/>
      <c r="IZE37" s="704"/>
      <c r="IZF37" s="704"/>
      <c r="IZG37" s="704"/>
      <c r="IZH37" s="704"/>
      <c r="IZI37" s="704"/>
      <c r="IZJ37" s="704"/>
      <c r="IZK37" s="704"/>
      <c r="IZL37" s="704"/>
      <c r="IZM37" s="704"/>
      <c r="IZN37" s="704"/>
      <c r="IZO37" s="704"/>
      <c r="IZP37" s="704"/>
      <c r="IZQ37" s="704"/>
      <c r="IZR37" s="704"/>
      <c r="IZS37" s="704"/>
      <c r="IZT37" s="704"/>
      <c r="IZU37" s="704"/>
      <c r="IZV37" s="704"/>
      <c r="IZW37" s="704"/>
      <c r="IZX37" s="704"/>
      <c r="IZY37" s="704"/>
      <c r="IZZ37" s="704"/>
      <c r="JAA37" s="704"/>
      <c r="JAB37" s="704"/>
      <c r="JAC37" s="704"/>
      <c r="JAD37" s="704"/>
      <c r="JAE37" s="704"/>
      <c r="JAF37" s="704"/>
      <c r="JAG37" s="704"/>
      <c r="JAH37" s="704"/>
      <c r="JAI37" s="704"/>
      <c r="JAJ37" s="704"/>
      <c r="JAK37" s="704"/>
      <c r="JAL37" s="704"/>
      <c r="JAM37" s="704"/>
      <c r="JAN37" s="704"/>
      <c r="JAO37" s="704"/>
      <c r="JAP37" s="704"/>
      <c r="JAQ37" s="704"/>
      <c r="JAR37" s="704"/>
      <c r="JAS37" s="704"/>
      <c r="JAT37" s="704"/>
      <c r="JAU37" s="704"/>
      <c r="JAV37" s="704"/>
      <c r="JAW37" s="704"/>
      <c r="JAX37" s="704"/>
      <c r="JAY37" s="704"/>
      <c r="JAZ37" s="704"/>
      <c r="JBA37" s="704"/>
      <c r="JBB37" s="704"/>
      <c r="JBC37" s="704"/>
      <c r="JBD37" s="704"/>
      <c r="JBE37" s="704"/>
      <c r="JBF37" s="704"/>
      <c r="JBG37" s="704"/>
      <c r="JBH37" s="704"/>
      <c r="JBI37" s="704"/>
      <c r="JBJ37" s="704"/>
      <c r="JBK37" s="704"/>
      <c r="JBL37" s="704"/>
      <c r="JBM37" s="704"/>
      <c r="JBN37" s="704"/>
      <c r="JBO37" s="704"/>
      <c r="JBP37" s="704"/>
      <c r="JBQ37" s="704"/>
      <c r="JBR37" s="704"/>
      <c r="JBS37" s="704"/>
      <c r="JBT37" s="704"/>
      <c r="JBU37" s="704"/>
      <c r="JBV37" s="704"/>
      <c r="JBW37" s="704"/>
      <c r="JBX37" s="704"/>
      <c r="JBY37" s="704"/>
      <c r="JBZ37" s="704"/>
      <c r="JCA37" s="704"/>
      <c r="JCB37" s="704"/>
      <c r="JCC37" s="704"/>
      <c r="JCD37" s="704"/>
      <c r="JCE37" s="704"/>
      <c r="JCF37" s="704"/>
      <c r="JCG37" s="704"/>
      <c r="JCH37" s="704"/>
      <c r="JCI37" s="704"/>
      <c r="JCJ37" s="704"/>
      <c r="JCK37" s="704"/>
      <c r="JCL37" s="704"/>
      <c r="JCM37" s="704"/>
      <c r="JCN37" s="704"/>
      <c r="JCO37" s="704"/>
      <c r="JCP37" s="704"/>
      <c r="JCQ37" s="704"/>
      <c r="JCR37" s="704"/>
      <c r="JCS37" s="704"/>
      <c r="JCT37" s="704"/>
      <c r="JCU37" s="704"/>
      <c r="JCV37" s="704"/>
      <c r="JCW37" s="704"/>
      <c r="JCX37" s="704"/>
      <c r="JCY37" s="704"/>
      <c r="JCZ37" s="704"/>
      <c r="JDA37" s="704"/>
      <c r="JDB37" s="704"/>
      <c r="JDC37" s="704"/>
      <c r="JDD37" s="704"/>
      <c r="JDE37" s="704"/>
      <c r="JDF37" s="704"/>
      <c r="JDG37" s="704"/>
      <c r="JDH37" s="704"/>
      <c r="JDI37" s="704"/>
      <c r="JDJ37" s="704"/>
      <c r="JDK37" s="704"/>
      <c r="JDL37" s="704"/>
      <c r="JDM37" s="704"/>
      <c r="JDN37" s="704"/>
      <c r="JDO37" s="704"/>
      <c r="JDP37" s="704"/>
      <c r="JDQ37" s="704"/>
      <c r="JDR37" s="704"/>
      <c r="JDS37" s="704"/>
      <c r="JDT37" s="704"/>
      <c r="JDU37" s="704"/>
      <c r="JDV37" s="704"/>
      <c r="JDW37" s="704"/>
      <c r="JDX37" s="704"/>
      <c r="JDY37" s="704"/>
      <c r="JDZ37" s="704"/>
      <c r="JEA37" s="704"/>
      <c r="JEB37" s="704"/>
      <c r="JEC37" s="704"/>
      <c r="JED37" s="704"/>
      <c r="JEE37" s="704"/>
      <c r="JEF37" s="704"/>
      <c r="JEG37" s="704"/>
      <c r="JEH37" s="704"/>
      <c r="JEI37" s="704"/>
      <c r="JEJ37" s="704"/>
      <c r="JEK37" s="704"/>
      <c r="JEL37" s="704"/>
      <c r="JEM37" s="704"/>
      <c r="JEN37" s="704"/>
      <c r="JEO37" s="704"/>
      <c r="JEP37" s="704"/>
      <c r="JEQ37" s="704"/>
      <c r="JER37" s="704"/>
      <c r="JES37" s="704"/>
      <c r="JET37" s="704"/>
      <c r="JEU37" s="704"/>
      <c r="JEV37" s="704"/>
      <c r="JEW37" s="704"/>
      <c r="JEX37" s="704"/>
      <c r="JEY37" s="704"/>
      <c r="JEZ37" s="704"/>
      <c r="JFA37" s="704"/>
      <c r="JFB37" s="704"/>
      <c r="JFC37" s="704"/>
      <c r="JFD37" s="704"/>
      <c r="JFE37" s="704"/>
      <c r="JFF37" s="704"/>
      <c r="JFG37" s="704"/>
      <c r="JFH37" s="704"/>
      <c r="JFI37" s="704"/>
      <c r="JFJ37" s="704"/>
      <c r="JFK37" s="704"/>
      <c r="JFL37" s="704"/>
      <c r="JFM37" s="704"/>
      <c r="JFN37" s="704"/>
      <c r="JFO37" s="704"/>
      <c r="JFP37" s="704"/>
      <c r="JFQ37" s="704"/>
      <c r="JFR37" s="704"/>
      <c r="JFS37" s="704"/>
      <c r="JFT37" s="704"/>
      <c r="JFU37" s="704"/>
      <c r="JFV37" s="704"/>
      <c r="JFW37" s="704"/>
      <c r="JFX37" s="704"/>
      <c r="JFY37" s="704"/>
      <c r="JFZ37" s="704"/>
      <c r="JGA37" s="704"/>
      <c r="JGB37" s="704"/>
      <c r="JGC37" s="704"/>
      <c r="JGD37" s="704"/>
      <c r="JGE37" s="704"/>
      <c r="JGF37" s="704"/>
      <c r="JGG37" s="704"/>
      <c r="JGH37" s="704"/>
      <c r="JGI37" s="704"/>
      <c r="JGJ37" s="704"/>
      <c r="JGK37" s="704"/>
      <c r="JGL37" s="704"/>
      <c r="JGM37" s="704"/>
      <c r="JGN37" s="704"/>
      <c r="JGO37" s="704"/>
      <c r="JGP37" s="704"/>
      <c r="JGQ37" s="704"/>
      <c r="JGR37" s="704"/>
      <c r="JGS37" s="704"/>
      <c r="JGT37" s="704"/>
      <c r="JGU37" s="704"/>
      <c r="JGV37" s="704"/>
      <c r="JGW37" s="704"/>
      <c r="JGX37" s="704"/>
      <c r="JGY37" s="704"/>
      <c r="JGZ37" s="704"/>
      <c r="JHA37" s="704"/>
      <c r="JHB37" s="704"/>
      <c r="JHC37" s="704"/>
      <c r="JHD37" s="704"/>
      <c r="JHE37" s="704"/>
      <c r="JHF37" s="704"/>
      <c r="JHG37" s="704"/>
      <c r="JHH37" s="704"/>
      <c r="JHI37" s="704"/>
      <c r="JHJ37" s="704"/>
      <c r="JHK37" s="704"/>
      <c r="JHL37" s="704"/>
      <c r="JHM37" s="704"/>
      <c r="JHN37" s="704"/>
      <c r="JHO37" s="704"/>
      <c r="JHP37" s="704"/>
      <c r="JHQ37" s="704"/>
      <c r="JHR37" s="704"/>
      <c r="JHS37" s="704"/>
      <c r="JHT37" s="704"/>
      <c r="JHU37" s="704"/>
      <c r="JHV37" s="704"/>
      <c r="JHW37" s="704"/>
      <c r="JHX37" s="704"/>
      <c r="JHY37" s="704"/>
      <c r="JHZ37" s="704"/>
      <c r="JIA37" s="704"/>
      <c r="JIB37" s="704"/>
      <c r="JIC37" s="704"/>
      <c r="JID37" s="704"/>
      <c r="JIE37" s="704"/>
      <c r="JIF37" s="704"/>
      <c r="JIG37" s="704"/>
      <c r="JIH37" s="704"/>
      <c r="JII37" s="704"/>
      <c r="JIJ37" s="704"/>
      <c r="JIK37" s="704"/>
      <c r="JIL37" s="704"/>
      <c r="JIM37" s="704"/>
      <c r="JIN37" s="704"/>
      <c r="JIO37" s="704"/>
      <c r="JIP37" s="704"/>
      <c r="JIQ37" s="704"/>
      <c r="JIR37" s="704"/>
      <c r="JIS37" s="704"/>
      <c r="JIT37" s="704"/>
      <c r="JIU37" s="704"/>
      <c r="JIV37" s="704"/>
      <c r="JIW37" s="704"/>
      <c r="JIX37" s="704"/>
      <c r="JIY37" s="704"/>
      <c r="JIZ37" s="704"/>
      <c r="JJA37" s="704"/>
      <c r="JJB37" s="704"/>
      <c r="JJC37" s="704"/>
      <c r="JJD37" s="704"/>
      <c r="JJE37" s="704"/>
      <c r="JJF37" s="704"/>
      <c r="JJG37" s="704"/>
      <c r="JJH37" s="704"/>
      <c r="JJI37" s="704"/>
      <c r="JJJ37" s="704"/>
      <c r="JJK37" s="704"/>
      <c r="JJL37" s="704"/>
      <c r="JJM37" s="704"/>
      <c r="JJN37" s="704"/>
      <c r="JJO37" s="704"/>
      <c r="JJP37" s="704"/>
      <c r="JJQ37" s="704"/>
      <c r="JJR37" s="704"/>
      <c r="JJS37" s="704"/>
      <c r="JJT37" s="704"/>
      <c r="JJU37" s="704"/>
      <c r="JJV37" s="704"/>
      <c r="JJW37" s="704"/>
      <c r="JJX37" s="704"/>
      <c r="JJY37" s="704"/>
      <c r="JJZ37" s="704"/>
      <c r="JKA37" s="704"/>
      <c r="JKB37" s="704"/>
      <c r="JKC37" s="704"/>
      <c r="JKD37" s="704"/>
      <c r="JKE37" s="704"/>
      <c r="JKF37" s="704"/>
      <c r="JKG37" s="704"/>
      <c r="JKH37" s="704"/>
      <c r="JKI37" s="704"/>
      <c r="JKJ37" s="704"/>
      <c r="JKK37" s="704"/>
      <c r="JKL37" s="704"/>
      <c r="JKM37" s="704"/>
      <c r="JKN37" s="704"/>
      <c r="JKO37" s="704"/>
      <c r="JKP37" s="704"/>
      <c r="JKQ37" s="704"/>
      <c r="JKR37" s="704"/>
      <c r="JKS37" s="704"/>
      <c r="JKT37" s="704"/>
      <c r="JKU37" s="704"/>
      <c r="JKV37" s="704"/>
      <c r="JKW37" s="704"/>
      <c r="JKX37" s="704"/>
      <c r="JKY37" s="704"/>
      <c r="JKZ37" s="704"/>
      <c r="JLA37" s="704"/>
      <c r="JLB37" s="704"/>
      <c r="JLC37" s="704"/>
      <c r="JLD37" s="704"/>
      <c r="JLE37" s="704"/>
      <c r="JLF37" s="704"/>
      <c r="JLG37" s="704"/>
      <c r="JLH37" s="704"/>
      <c r="JLI37" s="704"/>
      <c r="JLJ37" s="704"/>
      <c r="JLK37" s="704"/>
      <c r="JLL37" s="704"/>
      <c r="JLM37" s="704"/>
      <c r="JLN37" s="704"/>
      <c r="JLO37" s="704"/>
      <c r="JLP37" s="704"/>
      <c r="JLQ37" s="704"/>
      <c r="JLR37" s="704"/>
      <c r="JLS37" s="704"/>
      <c r="JLT37" s="704"/>
      <c r="JLU37" s="704"/>
      <c r="JLV37" s="704"/>
      <c r="JLW37" s="704"/>
      <c r="JLX37" s="704"/>
      <c r="JLY37" s="704"/>
      <c r="JLZ37" s="704"/>
      <c r="JMA37" s="704"/>
      <c r="JMB37" s="704"/>
      <c r="JMC37" s="704"/>
      <c r="JMD37" s="704"/>
      <c r="JME37" s="704"/>
      <c r="JMF37" s="704"/>
      <c r="JMG37" s="704"/>
      <c r="JMH37" s="704"/>
      <c r="JMI37" s="704"/>
      <c r="JMJ37" s="704"/>
      <c r="JMK37" s="704"/>
      <c r="JML37" s="704"/>
      <c r="JMM37" s="704"/>
      <c r="JMN37" s="704"/>
      <c r="JMO37" s="704"/>
      <c r="JMP37" s="704"/>
      <c r="JMQ37" s="704"/>
      <c r="JMR37" s="704"/>
      <c r="JMS37" s="704"/>
      <c r="JMT37" s="704"/>
      <c r="JMU37" s="704"/>
      <c r="JMV37" s="704"/>
      <c r="JMW37" s="704"/>
      <c r="JMX37" s="704"/>
      <c r="JMY37" s="704"/>
      <c r="JMZ37" s="704"/>
      <c r="JNA37" s="704"/>
      <c r="JNB37" s="704"/>
      <c r="JNC37" s="704"/>
      <c r="JND37" s="704"/>
      <c r="JNE37" s="704"/>
      <c r="JNF37" s="704"/>
      <c r="JNG37" s="704"/>
      <c r="JNH37" s="704"/>
      <c r="JNI37" s="704"/>
      <c r="JNJ37" s="704"/>
      <c r="JNK37" s="704"/>
      <c r="JNL37" s="704"/>
      <c r="JNM37" s="704"/>
      <c r="JNN37" s="704"/>
      <c r="JNO37" s="704"/>
      <c r="JNP37" s="704"/>
      <c r="JNQ37" s="704"/>
      <c r="JNR37" s="704"/>
      <c r="JNS37" s="704"/>
      <c r="JNT37" s="704"/>
      <c r="JNU37" s="704"/>
      <c r="JNV37" s="704"/>
      <c r="JNW37" s="704"/>
      <c r="JNX37" s="704"/>
      <c r="JNY37" s="704"/>
      <c r="JNZ37" s="704"/>
      <c r="JOA37" s="704"/>
      <c r="JOB37" s="704"/>
      <c r="JOC37" s="704"/>
      <c r="JOD37" s="704"/>
      <c r="JOE37" s="704"/>
      <c r="JOF37" s="704"/>
      <c r="JOG37" s="704"/>
      <c r="JOH37" s="704"/>
      <c r="JOI37" s="704"/>
      <c r="JOJ37" s="704"/>
      <c r="JOK37" s="704"/>
      <c r="JOL37" s="704"/>
      <c r="JOM37" s="704"/>
      <c r="JON37" s="704"/>
      <c r="JOO37" s="704"/>
      <c r="JOP37" s="704"/>
      <c r="JOQ37" s="704"/>
      <c r="JOR37" s="704"/>
      <c r="JOS37" s="704"/>
      <c r="JOT37" s="704"/>
      <c r="JOU37" s="704"/>
      <c r="JOV37" s="704"/>
      <c r="JOW37" s="704"/>
      <c r="JOX37" s="704"/>
      <c r="JOY37" s="704"/>
      <c r="JOZ37" s="704"/>
      <c r="JPA37" s="704"/>
      <c r="JPB37" s="704"/>
      <c r="JPC37" s="704"/>
      <c r="JPD37" s="704"/>
      <c r="JPE37" s="704"/>
      <c r="JPF37" s="704"/>
      <c r="JPG37" s="704"/>
      <c r="JPH37" s="704"/>
      <c r="JPI37" s="704"/>
      <c r="JPJ37" s="704"/>
      <c r="JPK37" s="704"/>
      <c r="JPL37" s="704"/>
      <c r="JPM37" s="704"/>
      <c r="JPN37" s="704"/>
      <c r="JPO37" s="704"/>
      <c r="JPP37" s="704"/>
      <c r="JPQ37" s="704"/>
      <c r="JPR37" s="704"/>
      <c r="JPS37" s="704"/>
      <c r="JPT37" s="704"/>
      <c r="JPU37" s="704"/>
      <c r="JPV37" s="704"/>
      <c r="JPW37" s="704"/>
      <c r="JPX37" s="704"/>
      <c r="JPY37" s="704"/>
      <c r="JPZ37" s="704"/>
      <c r="JQA37" s="704"/>
      <c r="JQB37" s="704"/>
      <c r="JQC37" s="704"/>
      <c r="JQD37" s="704"/>
      <c r="JQE37" s="704"/>
      <c r="JQF37" s="704"/>
      <c r="JQG37" s="704"/>
      <c r="JQH37" s="704"/>
      <c r="JQI37" s="704"/>
      <c r="JQJ37" s="704"/>
      <c r="JQK37" s="704"/>
      <c r="JQL37" s="704"/>
      <c r="JQM37" s="704"/>
      <c r="JQN37" s="704"/>
      <c r="JQO37" s="704"/>
      <c r="JQP37" s="704"/>
      <c r="JQQ37" s="704"/>
      <c r="JQR37" s="704"/>
      <c r="JQS37" s="704"/>
      <c r="JQT37" s="704"/>
      <c r="JQU37" s="704"/>
      <c r="JQV37" s="704"/>
      <c r="JQW37" s="704"/>
      <c r="JQX37" s="704"/>
      <c r="JQY37" s="704"/>
      <c r="JQZ37" s="704"/>
      <c r="JRA37" s="704"/>
      <c r="JRB37" s="704"/>
      <c r="JRC37" s="704"/>
      <c r="JRD37" s="704"/>
      <c r="JRE37" s="704"/>
      <c r="JRF37" s="704"/>
      <c r="JRG37" s="704"/>
      <c r="JRH37" s="704"/>
      <c r="JRI37" s="704"/>
      <c r="JRJ37" s="704"/>
      <c r="JRK37" s="704"/>
      <c r="JRL37" s="704"/>
      <c r="JRM37" s="704"/>
      <c r="JRN37" s="704"/>
      <c r="JRO37" s="704"/>
      <c r="JRP37" s="704"/>
      <c r="JRQ37" s="704"/>
      <c r="JRR37" s="704"/>
      <c r="JRS37" s="704"/>
      <c r="JRT37" s="704"/>
      <c r="JRU37" s="704"/>
      <c r="JRV37" s="704"/>
      <c r="JRW37" s="704"/>
      <c r="JRX37" s="704"/>
      <c r="JRY37" s="704"/>
      <c r="JRZ37" s="704"/>
      <c r="JSA37" s="704"/>
      <c r="JSB37" s="704"/>
      <c r="JSC37" s="704"/>
      <c r="JSD37" s="704"/>
      <c r="JSE37" s="704"/>
      <c r="JSF37" s="704"/>
      <c r="JSG37" s="704"/>
      <c r="JSH37" s="704"/>
      <c r="JSI37" s="704"/>
      <c r="JSJ37" s="704"/>
      <c r="JSK37" s="704"/>
      <c r="JSL37" s="704"/>
      <c r="JSM37" s="704"/>
      <c r="JSN37" s="704"/>
      <c r="JSO37" s="704"/>
      <c r="JSP37" s="704"/>
      <c r="JSQ37" s="704"/>
      <c r="JSR37" s="704"/>
      <c r="JSS37" s="704"/>
      <c r="JST37" s="704"/>
      <c r="JSU37" s="704"/>
      <c r="JSV37" s="704"/>
      <c r="JSW37" s="704"/>
      <c r="JSX37" s="704"/>
      <c r="JSY37" s="704"/>
      <c r="JSZ37" s="704"/>
      <c r="JTA37" s="704"/>
      <c r="JTB37" s="704"/>
      <c r="JTC37" s="704"/>
      <c r="JTD37" s="704"/>
      <c r="JTE37" s="704"/>
      <c r="JTF37" s="704"/>
      <c r="JTG37" s="704"/>
      <c r="JTH37" s="704"/>
      <c r="JTI37" s="704"/>
      <c r="JTJ37" s="704"/>
      <c r="JTK37" s="704"/>
      <c r="JTL37" s="704"/>
      <c r="JTM37" s="704"/>
      <c r="JTN37" s="704"/>
      <c r="JTO37" s="704"/>
      <c r="JTP37" s="704"/>
      <c r="JTQ37" s="704"/>
      <c r="JTR37" s="704"/>
      <c r="JTS37" s="704"/>
      <c r="JTT37" s="704"/>
      <c r="JTU37" s="704"/>
      <c r="JTV37" s="704"/>
      <c r="JTW37" s="704"/>
      <c r="JTX37" s="704"/>
      <c r="JTY37" s="704"/>
      <c r="JTZ37" s="704"/>
      <c r="JUA37" s="704"/>
      <c r="JUB37" s="704"/>
      <c r="JUC37" s="704"/>
      <c r="JUD37" s="704"/>
      <c r="JUE37" s="704"/>
      <c r="JUF37" s="704"/>
      <c r="JUG37" s="704"/>
      <c r="JUH37" s="704"/>
      <c r="JUI37" s="704"/>
      <c r="JUJ37" s="704"/>
      <c r="JUK37" s="704"/>
      <c r="JUL37" s="704"/>
      <c r="JUM37" s="704"/>
      <c r="JUN37" s="704"/>
      <c r="JUO37" s="704"/>
      <c r="JUP37" s="704"/>
      <c r="JUQ37" s="704"/>
      <c r="JUR37" s="704"/>
      <c r="JUS37" s="704"/>
      <c r="JUT37" s="704"/>
      <c r="JUU37" s="704"/>
      <c r="JUV37" s="704"/>
      <c r="JUW37" s="704"/>
      <c r="JUX37" s="704"/>
      <c r="JUY37" s="704"/>
      <c r="JUZ37" s="704"/>
      <c r="JVA37" s="704"/>
      <c r="JVB37" s="704"/>
      <c r="JVC37" s="704"/>
      <c r="JVD37" s="704"/>
      <c r="JVE37" s="704"/>
      <c r="JVF37" s="704"/>
      <c r="JVG37" s="704"/>
      <c r="JVH37" s="704"/>
      <c r="JVI37" s="704"/>
      <c r="JVJ37" s="704"/>
      <c r="JVK37" s="704"/>
      <c r="JVL37" s="704"/>
      <c r="JVM37" s="704"/>
      <c r="JVN37" s="704"/>
      <c r="JVO37" s="704"/>
      <c r="JVP37" s="704"/>
      <c r="JVQ37" s="704"/>
      <c r="JVR37" s="704"/>
      <c r="JVS37" s="704"/>
      <c r="JVT37" s="704"/>
      <c r="JVU37" s="704"/>
      <c r="JVV37" s="704"/>
      <c r="JVW37" s="704"/>
      <c r="JVX37" s="704"/>
      <c r="JVY37" s="704"/>
      <c r="JVZ37" s="704"/>
      <c r="JWA37" s="704"/>
      <c r="JWB37" s="704"/>
      <c r="JWC37" s="704"/>
      <c r="JWD37" s="704"/>
      <c r="JWE37" s="704"/>
      <c r="JWF37" s="704"/>
      <c r="JWG37" s="704"/>
      <c r="JWH37" s="704"/>
      <c r="JWI37" s="704"/>
      <c r="JWJ37" s="704"/>
      <c r="JWK37" s="704"/>
      <c r="JWL37" s="704"/>
      <c r="JWM37" s="704"/>
      <c r="JWN37" s="704"/>
      <c r="JWO37" s="704"/>
      <c r="JWP37" s="704"/>
      <c r="JWQ37" s="704"/>
      <c r="JWR37" s="704"/>
      <c r="JWS37" s="704"/>
      <c r="JWT37" s="704"/>
      <c r="JWU37" s="704"/>
      <c r="JWV37" s="704"/>
      <c r="JWW37" s="704"/>
      <c r="JWX37" s="704"/>
      <c r="JWY37" s="704"/>
      <c r="JWZ37" s="704"/>
      <c r="JXA37" s="704"/>
      <c r="JXB37" s="704"/>
      <c r="JXC37" s="704"/>
      <c r="JXD37" s="704"/>
      <c r="JXE37" s="704"/>
      <c r="JXF37" s="704"/>
      <c r="JXG37" s="704"/>
      <c r="JXH37" s="704"/>
      <c r="JXI37" s="704"/>
      <c r="JXJ37" s="704"/>
      <c r="JXK37" s="704"/>
      <c r="JXL37" s="704"/>
      <c r="JXM37" s="704"/>
      <c r="JXN37" s="704"/>
      <c r="JXO37" s="704"/>
      <c r="JXP37" s="704"/>
      <c r="JXQ37" s="704"/>
      <c r="JXR37" s="704"/>
      <c r="JXS37" s="704"/>
      <c r="JXT37" s="704"/>
      <c r="JXU37" s="704"/>
      <c r="JXV37" s="704"/>
      <c r="JXW37" s="704"/>
      <c r="JXX37" s="704"/>
      <c r="JXY37" s="704"/>
      <c r="JXZ37" s="704"/>
      <c r="JYA37" s="704"/>
      <c r="JYB37" s="704"/>
      <c r="JYC37" s="704"/>
      <c r="JYD37" s="704"/>
      <c r="JYE37" s="704"/>
      <c r="JYF37" s="704"/>
      <c r="JYG37" s="704"/>
      <c r="JYH37" s="704"/>
      <c r="JYI37" s="704"/>
      <c r="JYJ37" s="704"/>
      <c r="JYK37" s="704"/>
      <c r="JYL37" s="704"/>
      <c r="JYM37" s="704"/>
      <c r="JYN37" s="704"/>
      <c r="JYO37" s="704"/>
      <c r="JYP37" s="704"/>
      <c r="JYQ37" s="704"/>
      <c r="JYR37" s="704"/>
      <c r="JYS37" s="704"/>
      <c r="JYT37" s="704"/>
      <c r="JYU37" s="704"/>
      <c r="JYV37" s="704"/>
      <c r="JYW37" s="704"/>
      <c r="JYX37" s="704"/>
      <c r="JYY37" s="704"/>
      <c r="JYZ37" s="704"/>
      <c r="JZA37" s="704"/>
      <c r="JZB37" s="704"/>
      <c r="JZC37" s="704"/>
      <c r="JZD37" s="704"/>
      <c r="JZE37" s="704"/>
      <c r="JZF37" s="704"/>
      <c r="JZG37" s="704"/>
      <c r="JZH37" s="704"/>
      <c r="JZI37" s="704"/>
      <c r="JZJ37" s="704"/>
      <c r="JZK37" s="704"/>
      <c r="JZL37" s="704"/>
      <c r="JZM37" s="704"/>
      <c r="JZN37" s="704"/>
      <c r="JZO37" s="704"/>
      <c r="JZP37" s="704"/>
      <c r="JZQ37" s="704"/>
      <c r="JZR37" s="704"/>
      <c r="JZS37" s="704"/>
      <c r="JZT37" s="704"/>
      <c r="JZU37" s="704"/>
      <c r="JZV37" s="704"/>
      <c r="JZW37" s="704"/>
      <c r="JZX37" s="704"/>
      <c r="JZY37" s="704"/>
      <c r="JZZ37" s="704"/>
      <c r="KAA37" s="704"/>
      <c r="KAB37" s="704"/>
      <c r="KAC37" s="704"/>
      <c r="KAD37" s="704"/>
      <c r="KAE37" s="704"/>
      <c r="KAF37" s="704"/>
      <c r="KAG37" s="704"/>
      <c r="KAH37" s="704"/>
      <c r="KAI37" s="704"/>
      <c r="KAJ37" s="704"/>
      <c r="KAK37" s="704"/>
      <c r="KAL37" s="704"/>
      <c r="KAM37" s="704"/>
      <c r="KAN37" s="704"/>
      <c r="KAO37" s="704"/>
      <c r="KAP37" s="704"/>
      <c r="KAQ37" s="704"/>
      <c r="KAR37" s="704"/>
      <c r="KAS37" s="704"/>
      <c r="KAT37" s="704"/>
      <c r="KAU37" s="704"/>
      <c r="KAV37" s="704"/>
      <c r="KAW37" s="704"/>
      <c r="KAX37" s="704"/>
      <c r="KAY37" s="704"/>
      <c r="KAZ37" s="704"/>
      <c r="KBA37" s="704"/>
      <c r="KBB37" s="704"/>
      <c r="KBC37" s="704"/>
      <c r="KBD37" s="704"/>
      <c r="KBE37" s="704"/>
      <c r="KBF37" s="704"/>
      <c r="KBG37" s="704"/>
      <c r="KBH37" s="704"/>
      <c r="KBI37" s="704"/>
      <c r="KBJ37" s="704"/>
      <c r="KBK37" s="704"/>
      <c r="KBL37" s="704"/>
      <c r="KBM37" s="704"/>
      <c r="KBN37" s="704"/>
      <c r="KBO37" s="704"/>
      <c r="KBP37" s="704"/>
      <c r="KBQ37" s="704"/>
      <c r="KBR37" s="704"/>
      <c r="KBS37" s="704"/>
      <c r="KBT37" s="704"/>
      <c r="KBU37" s="704"/>
      <c r="KBV37" s="704"/>
      <c r="KBW37" s="704"/>
      <c r="KBX37" s="704"/>
      <c r="KBY37" s="704"/>
      <c r="KBZ37" s="704"/>
      <c r="KCA37" s="704"/>
      <c r="KCB37" s="704"/>
      <c r="KCC37" s="704"/>
      <c r="KCD37" s="704"/>
      <c r="KCE37" s="704"/>
      <c r="KCF37" s="704"/>
      <c r="KCG37" s="704"/>
      <c r="KCH37" s="704"/>
      <c r="KCI37" s="704"/>
      <c r="KCJ37" s="704"/>
      <c r="KCK37" s="704"/>
      <c r="KCL37" s="704"/>
      <c r="KCM37" s="704"/>
      <c r="KCN37" s="704"/>
      <c r="KCO37" s="704"/>
      <c r="KCP37" s="704"/>
      <c r="KCQ37" s="704"/>
      <c r="KCR37" s="704"/>
      <c r="KCS37" s="704"/>
      <c r="KCT37" s="704"/>
      <c r="KCU37" s="704"/>
      <c r="KCV37" s="704"/>
      <c r="KCW37" s="704"/>
      <c r="KCX37" s="704"/>
      <c r="KCY37" s="704"/>
      <c r="KCZ37" s="704"/>
      <c r="KDA37" s="704"/>
      <c r="KDB37" s="704"/>
      <c r="KDC37" s="704"/>
      <c r="KDD37" s="704"/>
      <c r="KDE37" s="704"/>
      <c r="KDF37" s="704"/>
      <c r="KDG37" s="704"/>
      <c r="KDH37" s="704"/>
      <c r="KDI37" s="704"/>
      <c r="KDJ37" s="704"/>
      <c r="KDK37" s="704"/>
      <c r="KDL37" s="704"/>
      <c r="KDM37" s="704"/>
      <c r="KDN37" s="704"/>
      <c r="KDO37" s="704"/>
      <c r="KDP37" s="704"/>
      <c r="KDQ37" s="704"/>
      <c r="KDR37" s="704"/>
      <c r="KDS37" s="704"/>
      <c r="KDT37" s="704"/>
      <c r="KDU37" s="704"/>
      <c r="KDV37" s="704"/>
      <c r="KDW37" s="704"/>
      <c r="KDX37" s="704"/>
      <c r="KDY37" s="704"/>
      <c r="KDZ37" s="704"/>
      <c r="KEA37" s="704"/>
      <c r="KEB37" s="704"/>
      <c r="KEC37" s="704"/>
      <c r="KED37" s="704"/>
      <c r="KEE37" s="704"/>
      <c r="KEF37" s="704"/>
      <c r="KEG37" s="704"/>
      <c r="KEH37" s="704"/>
      <c r="KEI37" s="704"/>
      <c r="KEJ37" s="704"/>
      <c r="KEK37" s="704"/>
      <c r="KEL37" s="704"/>
      <c r="KEM37" s="704"/>
      <c r="KEN37" s="704"/>
      <c r="KEO37" s="704"/>
      <c r="KEP37" s="704"/>
      <c r="KEQ37" s="704"/>
      <c r="KER37" s="704"/>
      <c r="KES37" s="704"/>
      <c r="KET37" s="704"/>
      <c r="KEU37" s="704"/>
      <c r="KEV37" s="704"/>
      <c r="KEW37" s="704"/>
      <c r="KEX37" s="704"/>
      <c r="KEY37" s="704"/>
      <c r="KEZ37" s="704"/>
      <c r="KFA37" s="704"/>
      <c r="KFB37" s="704"/>
      <c r="KFC37" s="704"/>
      <c r="KFD37" s="704"/>
      <c r="KFE37" s="704"/>
      <c r="KFF37" s="704"/>
      <c r="KFG37" s="704"/>
      <c r="KFH37" s="704"/>
      <c r="KFI37" s="704"/>
      <c r="KFJ37" s="704"/>
      <c r="KFK37" s="704"/>
      <c r="KFL37" s="704"/>
      <c r="KFM37" s="704"/>
      <c r="KFN37" s="704"/>
      <c r="KFO37" s="704"/>
      <c r="KFP37" s="704"/>
      <c r="KFQ37" s="704"/>
      <c r="KFR37" s="704"/>
      <c r="KFS37" s="704"/>
      <c r="KFT37" s="704"/>
      <c r="KFU37" s="704"/>
      <c r="KFV37" s="704"/>
      <c r="KFW37" s="704"/>
      <c r="KFX37" s="704"/>
      <c r="KFY37" s="704"/>
      <c r="KFZ37" s="704"/>
      <c r="KGA37" s="704"/>
      <c r="KGB37" s="704"/>
      <c r="KGC37" s="704"/>
      <c r="KGD37" s="704"/>
      <c r="KGE37" s="704"/>
      <c r="KGF37" s="704"/>
      <c r="KGG37" s="704"/>
      <c r="KGH37" s="704"/>
      <c r="KGI37" s="704"/>
      <c r="KGJ37" s="704"/>
      <c r="KGK37" s="704"/>
      <c r="KGL37" s="704"/>
      <c r="KGM37" s="704"/>
      <c r="KGN37" s="704"/>
      <c r="KGO37" s="704"/>
      <c r="KGP37" s="704"/>
      <c r="KGQ37" s="704"/>
      <c r="KGR37" s="704"/>
      <c r="KGS37" s="704"/>
      <c r="KGT37" s="704"/>
      <c r="KGU37" s="704"/>
      <c r="KGV37" s="704"/>
      <c r="KGW37" s="704"/>
      <c r="KGX37" s="704"/>
      <c r="KGY37" s="704"/>
      <c r="KGZ37" s="704"/>
      <c r="KHA37" s="704"/>
      <c r="KHB37" s="704"/>
      <c r="KHC37" s="704"/>
      <c r="KHD37" s="704"/>
      <c r="KHE37" s="704"/>
      <c r="KHF37" s="704"/>
      <c r="KHG37" s="704"/>
      <c r="KHH37" s="704"/>
      <c r="KHI37" s="704"/>
      <c r="KHJ37" s="704"/>
      <c r="KHK37" s="704"/>
      <c r="KHL37" s="704"/>
      <c r="KHM37" s="704"/>
      <c r="KHN37" s="704"/>
      <c r="KHO37" s="704"/>
      <c r="KHP37" s="704"/>
      <c r="KHQ37" s="704"/>
      <c r="KHR37" s="704"/>
      <c r="KHS37" s="704"/>
      <c r="KHT37" s="704"/>
      <c r="KHU37" s="704"/>
      <c r="KHV37" s="704"/>
      <c r="KHW37" s="704"/>
      <c r="KHX37" s="704"/>
      <c r="KHY37" s="704"/>
      <c r="KHZ37" s="704"/>
      <c r="KIA37" s="704"/>
      <c r="KIB37" s="704"/>
      <c r="KIC37" s="704"/>
      <c r="KID37" s="704"/>
      <c r="KIE37" s="704"/>
      <c r="KIF37" s="704"/>
      <c r="KIG37" s="704"/>
      <c r="KIH37" s="704"/>
      <c r="KII37" s="704"/>
      <c r="KIJ37" s="704"/>
      <c r="KIK37" s="704"/>
      <c r="KIL37" s="704"/>
      <c r="KIM37" s="704"/>
      <c r="KIN37" s="704"/>
      <c r="KIO37" s="704"/>
      <c r="KIP37" s="704"/>
      <c r="KIQ37" s="704"/>
      <c r="KIR37" s="704"/>
      <c r="KIS37" s="704"/>
      <c r="KIT37" s="704"/>
      <c r="KIU37" s="704"/>
      <c r="KIV37" s="704"/>
      <c r="KIW37" s="704"/>
      <c r="KIX37" s="704"/>
      <c r="KIY37" s="704"/>
      <c r="KIZ37" s="704"/>
      <c r="KJA37" s="704"/>
      <c r="KJB37" s="704"/>
      <c r="KJC37" s="704"/>
      <c r="KJD37" s="704"/>
      <c r="KJE37" s="704"/>
      <c r="KJF37" s="704"/>
      <c r="KJG37" s="704"/>
      <c r="KJH37" s="704"/>
      <c r="KJI37" s="704"/>
      <c r="KJJ37" s="704"/>
      <c r="KJK37" s="704"/>
      <c r="KJL37" s="704"/>
      <c r="KJM37" s="704"/>
      <c r="KJN37" s="704"/>
      <c r="KJO37" s="704"/>
      <c r="KJP37" s="704"/>
      <c r="KJQ37" s="704"/>
      <c r="KJR37" s="704"/>
      <c r="KJS37" s="704"/>
      <c r="KJT37" s="704"/>
      <c r="KJU37" s="704"/>
      <c r="KJV37" s="704"/>
      <c r="KJW37" s="704"/>
      <c r="KJX37" s="704"/>
      <c r="KJY37" s="704"/>
      <c r="KJZ37" s="704"/>
      <c r="KKA37" s="704"/>
      <c r="KKB37" s="704"/>
      <c r="KKC37" s="704"/>
      <c r="KKD37" s="704"/>
      <c r="KKE37" s="704"/>
      <c r="KKF37" s="704"/>
      <c r="KKG37" s="704"/>
      <c r="KKH37" s="704"/>
      <c r="KKI37" s="704"/>
      <c r="KKJ37" s="704"/>
      <c r="KKK37" s="704"/>
      <c r="KKL37" s="704"/>
      <c r="KKM37" s="704"/>
      <c r="KKN37" s="704"/>
      <c r="KKO37" s="704"/>
      <c r="KKP37" s="704"/>
      <c r="KKQ37" s="704"/>
      <c r="KKR37" s="704"/>
      <c r="KKS37" s="704"/>
      <c r="KKT37" s="704"/>
      <c r="KKU37" s="704"/>
      <c r="KKV37" s="704"/>
      <c r="KKW37" s="704"/>
      <c r="KKX37" s="704"/>
      <c r="KKY37" s="704"/>
      <c r="KKZ37" s="704"/>
      <c r="KLA37" s="704"/>
      <c r="KLB37" s="704"/>
      <c r="KLC37" s="704"/>
      <c r="KLD37" s="704"/>
      <c r="KLE37" s="704"/>
      <c r="KLF37" s="704"/>
      <c r="KLG37" s="704"/>
      <c r="KLH37" s="704"/>
      <c r="KLI37" s="704"/>
      <c r="KLJ37" s="704"/>
      <c r="KLK37" s="704"/>
      <c r="KLL37" s="704"/>
      <c r="KLM37" s="704"/>
      <c r="KLN37" s="704"/>
      <c r="KLO37" s="704"/>
      <c r="KLP37" s="704"/>
      <c r="KLQ37" s="704"/>
      <c r="KLR37" s="704"/>
      <c r="KLS37" s="704"/>
      <c r="KLT37" s="704"/>
      <c r="KLU37" s="704"/>
      <c r="KLV37" s="704"/>
      <c r="KLW37" s="704"/>
      <c r="KLX37" s="704"/>
      <c r="KLY37" s="704"/>
      <c r="KLZ37" s="704"/>
      <c r="KMA37" s="704"/>
      <c r="KMB37" s="704"/>
      <c r="KMC37" s="704"/>
      <c r="KMD37" s="704"/>
      <c r="KME37" s="704"/>
      <c r="KMF37" s="704"/>
      <c r="KMG37" s="704"/>
      <c r="KMH37" s="704"/>
      <c r="KMI37" s="704"/>
      <c r="KMJ37" s="704"/>
      <c r="KMK37" s="704"/>
      <c r="KML37" s="704"/>
      <c r="KMM37" s="704"/>
      <c r="KMN37" s="704"/>
      <c r="KMO37" s="704"/>
      <c r="KMP37" s="704"/>
      <c r="KMQ37" s="704"/>
      <c r="KMR37" s="704"/>
      <c r="KMS37" s="704"/>
      <c r="KMT37" s="704"/>
      <c r="KMU37" s="704"/>
      <c r="KMV37" s="704"/>
      <c r="KMW37" s="704"/>
      <c r="KMX37" s="704"/>
      <c r="KMY37" s="704"/>
      <c r="KMZ37" s="704"/>
      <c r="KNA37" s="704"/>
      <c r="KNB37" s="704"/>
      <c r="KNC37" s="704"/>
      <c r="KND37" s="704"/>
      <c r="KNE37" s="704"/>
      <c r="KNF37" s="704"/>
      <c r="KNG37" s="704"/>
      <c r="KNH37" s="704"/>
      <c r="KNI37" s="704"/>
      <c r="KNJ37" s="704"/>
      <c r="KNK37" s="704"/>
      <c r="KNL37" s="704"/>
      <c r="KNM37" s="704"/>
      <c r="KNN37" s="704"/>
      <c r="KNO37" s="704"/>
      <c r="KNP37" s="704"/>
      <c r="KNQ37" s="704"/>
      <c r="KNR37" s="704"/>
      <c r="KNS37" s="704"/>
      <c r="KNT37" s="704"/>
      <c r="KNU37" s="704"/>
      <c r="KNV37" s="704"/>
      <c r="KNW37" s="704"/>
      <c r="KNX37" s="704"/>
      <c r="KNY37" s="704"/>
      <c r="KNZ37" s="704"/>
      <c r="KOA37" s="704"/>
      <c r="KOB37" s="704"/>
      <c r="KOC37" s="704"/>
      <c r="KOD37" s="704"/>
      <c r="KOE37" s="704"/>
      <c r="KOF37" s="704"/>
      <c r="KOG37" s="704"/>
      <c r="KOH37" s="704"/>
      <c r="KOI37" s="704"/>
      <c r="KOJ37" s="704"/>
      <c r="KOK37" s="704"/>
      <c r="KOL37" s="704"/>
      <c r="KOM37" s="704"/>
      <c r="KON37" s="704"/>
      <c r="KOO37" s="704"/>
      <c r="KOP37" s="704"/>
      <c r="KOQ37" s="704"/>
      <c r="KOR37" s="704"/>
      <c r="KOS37" s="704"/>
      <c r="KOT37" s="704"/>
      <c r="KOU37" s="704"/>
      <c r="KOV37" s="704"/>
      <c r="KOW37" s="704"/>
      <c r="KOX37" s="704"/>
      <c r="KOY37" s="704"/>
      <c r="KOZ37" s="704"/>
      <c r="KPA37" s="704"/>
      <c r="KPB37" s="704"/>
      <c r="KPC37" s="704"/>
      <c r="KPD37" s="704"/>
      <c r="KPE37" s="704"/>
      <c r="KPF37" s="704"/>
      <c r="KPG37" s="704"/>
      <c r="KPH37" s="704"/>
      <c r="KPI37" s="704"/>
      <c r="KPJ37" s="704"/>
      <c r="KPK37" s="704"/>
      <c r="KPL37" s="704"/>
      <c r="KPM37" s="704"/>
      <c r="KPN37" s="704"/>
      <c r="KPO37" s="704"/>
      <c r="KPP37" s="704"/>
      <c r="KPQ37" s="704"/>
      <c r="KPR37" s="704"/>
      <c r="KPS37" s="704"/>
      <c r="KPT37" s="704"/>
      <c r="KPU37" s="704"/>
      <c r="KPV37" s="704"/>
      <c r="KPW37" s="704"/>
      <c r="KPX37" s="704"/>
      <c r="KPY37" s="704"/>
      <c r="KPZ37" s="704"/>
      <c r="KQA37" s="704"/>
      <c r="KQB37" s="704"/>
      <c r="KQC37" s="704"/>
      <c r="KQD37" s="704"/>
      <c r="KQE37" s="704"/>
      <c r="KQF37" s="704"/>
      <c r="KQG37" s="704"/>
      <c r="KQH37" s="704"/>
      <c r="KQI37" s="704"/>
      <c r="KQJ37" s="704"/>
      <c r="KQK37" s="704"/>
      <c r="KQL37" s="704"/>
      <c r="KQM37" s="704"/>
      <c r="KQN37" s="704"/>
      <c r="KQO37" s="704"/>
      <c r="KQP37" s="704"/>
      <c r="KQQ37" s="704"/>
      <c r="KQR37" s="704"/>
      <c r="KQS37" s="704"/>
      <c r="KQT37" s="704"/>
      <c r="KQU37" s="704"/>
      <c r="KQV37" s="704"/>
      <c r="KQW37" s="704"/>
      <c r="KQX37" s="704"/>
      <c r="KQY37" s="704"/>
      <c r="KQZ37" s="704"/>
      <c r="KRA37" s="704"/>
      <c r="KRB37" s="704"/>
      <c r="KRC37" s="704"/>
      <c r="KRD37" s="704"/>
      <c r="KRE37" s="704"/>
      <c r="KRF37" s="704"/>
      <c r="KRG37" s="704"/>
      <c r="KRH37" s="704"/>
      <c r="KRI37" s="704"/>
      <c r="KRJ37" s="704"/>
      <c r="KRK37" s="704"/>
      <c r="KRL37" s="704"/>
      <c r="KRM37" s="704"/>
      <c r="KRN37" s="704"/>
      <c r="KRO37" s="704"/>
      <c r="KRP37" s="704"/>
      <c r="KRQ37" s="704"/>
      <c r="KRR37" s="704"/>
      <c r="KRS37" s="704"/>
      <c r="KRT37" s="704"/>
      <c r="KRU37" s="704"/>
      <c r="KRV37" s="704"/>
      <c r="KRW37" s="704"/>
      <c r="KRX37" s="704"/>
      <c r="KRY37" s="704"/>
      <c r="KRZ37" s="704"/>
      <c r="KSA37" s="704"/>
      <c r="KSB37" s="704"/>
      <c r="KSC37" s="704"/>
      <c r="KSD37" s="704"/>
      <c r="KSE37" s="704"/>
      <c r="KSF37" s="704"/>
      <c r="KSG37" s="704"/>
      <c r="KSH37" s="704"/>
      <c r="KSI37" s="704"/>
      <c r="KSJ37" s="704"/>
      <c r="KSK37" s="704"/>
      <c r="KSL37" s="704"/>
      <c r="KSM37" s="704"/>
      <c r="KSN37" s="704"/>
      <c r="KSO37" s="704"/>
      <c r="KSP37" s="704"/>
      <c r="KSQ37" s="704"/>
      <c r="KSR37" s="704"/>
      <c r="KSS37" s="704"/>
      <c r="KST37" s="704"/>
      <c r="KSU37" s="704"/>
      <c r="KSV37" s="704"/>
      <c r="KSW37" s="704"/>
      <c r="KSX37" s="704"/>
      <c r="KSY37" s="704"/>
      <c r="KSZ37" s="704"/>
      <c r="KTA37" s="704"/>
      <c r="KTB37" s="704"/>
      <c r="KTC37" s="704"/>
      <c r="KTD37" s="704"/>
      <c r="KTE37" s="704"/>
      <c r="KTF37" s="704"/>
      <c r="KTG37" s="704"/>
      <c r="KTH37" s="704"/>
      <c r="KTI37" s="704"/>
      <c r="KTJ37" s="704"/>
      <c r="KTK37" s="704"/>
      <c r="KTL37" s="704"/>
      <c r="KTM37" s="704"/>
      <c r="KTN37" s="704"/>
      <c r="KTO37" s="704"/>
      <c r="KTP37" s="704"/>
      <c r="KTQ37" s="704"/>
      <c r="KTR37" s="704"/>
      <c r="KTS37" s="704"/>
      <c r="KTT37" s="704"/>
      <c r="KTU37" s="704"/>
      <c r="KTV37" s="704"/>
      <c r="KTW37" s="704"/>
      <c r="KTX37" s="704"/>
      <c r="KTY37" s="704"/>
      <c r="KTZ37" s="704"/>
      <c r="KUA37" s="704"/>
      <c r="KUB37" s="704"/>
      <c r="KUC37" s="704"/>
      <c r="KUD37" s="704"/>
      <c r="KUE37" s="704"/>
      <c r="KUF37" s="704"/>
      <c r="KUG37" s="704"/>
      <c r="KUH37" s="704"/>
      <c r="KUI37" s="704"/>
      <c r="KUJ37" s="704"/>
      <c r="KUK37" s="704"/>
      <c r="KUL37" s="704"/>
      <c r="KUM37" s="704"/>
      <c r="KUN37" s="704"/>
      <c r="KUO37" s="704"/>
      <c r="KUP37" s="704"/>
      <c r="KUQ37" s="704"/>
      <c r="KUR37" s="704"/>
      <c r="KUS37" s="704"/>
      <c r="KUT37" s="704"/>
      <c r="KUU37" s="704"/>
      <c r="KUV37" s="704"/>
      <c r="KUW37" s="704"/>
      <c r="KUX37" s="704"/>
      <c r="KUY37" s="704"/>
      <c r="KUZ37" s="704"/>
      <c r="KVA37" s="704"/>
      <c r="KVB37" s="704"/>
      <c r="KVC37" s="704"/>
      <c r="KVD37" s="704"/>
      <c r="KVE37" s="704"/>
      <c r="KVF37" s="704"/>
      <c r="KVG37" s="704"/>
      <c r="KVH37" s="704"/>
      <c r="KVI37" s="704"/>
      <c r="KVJ37" s="704"/>
      <c r="KVK37" s="704"/>
      <c r="KVL37" s="704"/>
      <c r="KVM37" s="704"/>
      <c r="KVN37" s="704"/>
      <c r="KVO37" s="704"/>
      <c r="KVP37" s="704"/>
      <c r="KVQ37" s="704"/>
      <c r="KVR37" s="704"/>
      <c r="KVS37" s="704"/>
      <c r="KVT37" s="704"/>
      <c r="KVU37" s="704"/>
      <c r="KVV37" s="704"/>
      <c r="KVW37" s="704"/>
      <c r="KVX37" s="704"/>
      <c r="KVY37" s="704"/>
      <c r="KVZ37" s="704"/>
      <c r="KWA37" s="704"/>
      <c r="KWB37" s="704"/>
      <c r="KWC37" s="704"/>
      <c r="KWD37" s="704"/>
      <c r="KWE37" s="704"/>
      <c r="KWF37" s="704"/>
      <c r="KWG37" s="704"/>
      <c r="KWH37" s="704"/>
      <c r="KWI37" s="704"/>
      <c r="KWJ37" s="704"/>
      <c r="KWK37" s="704"/>
      <c r="KWL37" s="704"/>
      <c r="KWM37" s="704"/>
      <c r="KWN37" s="704"/>
      <c r="KWO37" s="704"/>
      <c r="KWP37" s="704"/>
      <c r="KWQ37" s="704"/>
      <c r="KWR37" s="704"/>
      <c r="KWS37" s="704"/>
      <c r="KWT37" s="704"/>
      <c r="KWU37" s="704"/>
      <c r="KWV37" s="704"/>
      <c r="KWW37" s="704"/>
      <c r="KWX37" s="704"/>
      <c r="KWY37" s="704"/>
      <c r="KWZ37" s="704"/>
      <c r="KXA37" s="704"/>
      <c r="KXB37" s="704"/>
      <c r="KXC37" s="704"/>
      <c r="KXD37" s="704"/>
      <c r="KXE37" s="704"/>
      <c r="KXF37" s="704"/>
      <c r="KXG37" s="704"/>
      <c r="KXH37" s="704"/>
      <c r="KXI37" s="704"/>
      <c r="KXJ37" s="704"/>
      <c r="KXK37" s="704"/>
      <c r="KXL37" s="704"/>
      <c r="KXM37" s="704"/>
      <c r="KXN37" s="704"/>
      <c r="KXO37" s="704"/>
      <c r="KXP37" s="704"/>
      <c r="KXQ37" s="704"/>
      <c r="KXR37" s="704"/>
      <c r="KXS37" s="704"/>
      <c r="KXT37" s="704"/>
      <c r="KXU37" s="704"/>
      <c r="KXV37" s="704"/>
      <c r="KXW37" s="704"/>
      <c r="KXX37" s="704"/>
      <c r="KXY37" s="704"/>
      <c r="KXZ37" s="704"/>
      <c r="KYA37" s="704"/>
      <c r="KYB37" s="704"/>
      <c r="KYC37" s="704"/>
      <c r="KYD37" s="704"/>
      <c r="KYE37" s="704"/>
      <c r="KYF37" s="704"/>
      <c r="KYG37" s="704"/>
      <c r="KYH37" s="704"/>
      <c r="KYI37" s="704"/>
      <c r="KYJ37" s="704"/>
      <c r="KYK37" s="704"/>
      <c r="KYL37" s="704"/>
      <c r="KYM37" s="704"/>
      <c r="KYN37" s="704"/>
      <c r="KYO37" s="704"/>
      <c r="KYP37" s="704"/>
      <c r="KYQ37" s="704"/>
      <c r="KYR37" s="704"/>
      <c r="KYS37" s="704"/>
      <c r="KYT37" s="704"/>
      <c r="KYU37" s="704"/>
      <c r="KYV37" s="704"/>
      <c r="KYW37" s="704"/>
      <c r="KYX37" s="704"/>
      <c r="KYY37" s="704"/>
      <c r="KYZ37" s="704"/>
      <c r="KZA37" s="704"/>
      <c r="KZB37" s="704"/>
      <c r="KZC37" s="704"/>
      <c r="KZD37" s="704"/>
      <c r="KZE37" s="704"/>
      <c r="KZF37" s="704"/>
      <c r="KZG37" s="704"/>
      <c r="KZH37" s="704"/>
      <c r="KZI37" s="704"/>
      <c r="KZJ37" s="704"/>
      <c r="KZK37" s="704"/>
      <c r="KZL37" s="704"/>
      <c r="KZM37" s="704"/>
      <c r="KZN37" s="704"/>
      <c r="KZO37" s="704"/>
      <c r="KZP37" s="704"/>
      <c r="KZQ37" s="704"/>
      <c r="KZR37" s="704"/>
      <c r="KZS37" s="704"/>
      <c r="KZT37" s="704"/>
      <c r="KZU37" s="704"/>
      <c r="KZV37" s="704"/>
      <c r="KZW37" s="704"/>
      <c r="KZX37" s="704"/>
      <c r="KZY37" s="704"/>
      <c r="KZZ37" s="704"/>
      <c r="LAA37" s="704"/>
      <c r="LAB37" s="704"/>
      <c r="LAC37" s="704"/>
      <c r="LAD37" s="704"/>
      <c r="LAE37" s="704"/>
      <c r="LAF37" s="704"/>
      <c r="LAG37" s="704"/>
      <c r="LAH37" s="704"/>
      <c r="LAI37" s="704"/>
      <c r="LAJ37" s="704"/>
      <c r="LAK37" s="704"/>
      <c r="LAL37" s="704"/>
      <c r="LAM37" s="704"/>
      <c r="LAN37" s="704"/>
      <c r="LAO37" s="704"/>
      <c r="LAP37" s="704"/>
      <c r="LAQ37" s="704"/>
      <c r="LAR37" s="704"/>
      <c r="LAS37" s="704"/>
      <c r="LAT37" s="704"/>
      <c r="LAU37" s="704"/>
      <c r="LAV37" s="704"/>
      <c r="LAW37" s="704"/>
      <c r="LAX37" s="704"/>
      <c r="LAY37" s="704"/>
      <c r="LAZ37" s="704"/>
      <c r="LBA37" s="704"/>
      <c r="LBB37" s="704"/>
      <c r="LBC37" s="704"/>
      <c r="LBD37" s="704"/>
      <c r="LBE37" s="704"/>
      <c r="LBF37" s="704"/>
      <c r="LBG37" s="704"/>
      <c r="LBH37" s="704"/>
      <c r="LBI37" s="704"/>
      <c r="LBJ37" s="704"/>
      <c r="LBK37" s="704"/>
      <c r="LBL37" s="704"/>
      <c r="LBM37" s="704"/>
      <c r="LBN37" s="704"/>
      <c r="LBO37" s="704"/>
      <c r="LBP37" s="704"/>
      <c r="LBQ37" s="704"/>
      <c r="LBR37" s="704"/>
      <c r="LBS37" s="704"/>
      <c r="LBT37" s="704"/>
      <c r="LBU37" s="704"/>
      <c r="LBV37" s="704"/>
      <c r="LBW37" s="704"/>
      <c r="LBX37" s="704"/>
      <c r="LBY37" s="704"/>
      <c r="LBZ37" s="704"/>
      <c r="LCA37" s="704"/>
      <c r="LCB37" s="704"/>
      <c r="LCC37" s="704"/>
      <c r="LCD37" s="704"/>
      <c r="LCE37" s="704"/>
      <c r="LCF37" s="704"/>
      <c r="LCG37" s="704"/>
      <c r="LCH37" s="704"/>
      <c r="LCI37" s="704"/>
      <c r="LCJ37" s="704"/>
      <c r="LCK37" s="704"/>
      <c r="LCL37" s="704"/>
      <c r="LCM37" s="704"/>
      <c r="LCN37" s="704"/>
      <c r="LCO37" s="704"/>
      <c r="LCP37" s="704"/>
      <c r="LCQ37" s="704"/>
      <c r="LCR37" s="704"/>
      <c r="LCS37" s="704"/>
      <c r="LCT37" s="704"/>
      <c r="LCU37" s="704"/>
      <c r="LCV37" s="704"/>
      <c r="LCW37" s="704"/>
      <c r="LCX37" s="704"/>
      <c r="LCY37" s="704"/>
      <c r="LCZ37" s="704"/>
      <c r="LDA37" s="704"/>
      <c r="LDB37" s="704"/>
      <c r="LDC37" s="704"/>
      <c r="LDD37" s="704"/>
      <c r="LDE37" s="704"/>
      <c r="LDF37" s="704"/>
      <c r="LDG37" s="704"/>
      <c r="LDH37" s="704"/>
      <c r="LDI37" s="704"/>
      <c r="LDJ37" s="704"/>
      <c r="LDK37" s="704"/>
      <c r="LDL37" s="704"/>
      <c r="LDM37" s="704"/>
      <c r="LDN37" s="704"/>
      <c r="LDO37" s="704"/>
      <c r="LDP37" s="704"/>
      <c r="LDQ37" s="704"/>
      <c r="LDR37" s="704"/>
      <c r="LDS37" s="704"/>
      <c r="LDT37" s="704"/>
      <c r="LDU37" s="704"/>
      <c r="LDV37" s="704"/>
      <c r="LDW37" s="704"/>
      <c r="LDX37" s="704"/>
      <c r="LDY37" s="704"/>
      <c r="LDZ37" s="704"/>
      <c r="LEA37" s="704"/>
      <c r="LEB37" s="704"/>
      <c r="LEC37" s="704"/>
      <c r="LED37" s="704"/>
      <c r="LEE37" s="704"/>
      <c r="LEF37" s="704"/>
      <c r="LEG37" s="704"/>
      <c r="LEH37" s="704"/>
      <c r="LEI37" s="704"/>
      <c r="LEJ37" s="704"/>
      <c r="LEK37" s="704"/>
      <c r="LEL37" s="704"/>
      <c r="LEM37" s="704"/>
      <c r="LEN37" s="704"/>
      <c r="LEO37" s="704"/>
      <c r="LEP37" s="704"/>
      <c r="LEQ37" s="704"/>
      <c r="LER37" s="704"/>
      <c r="LES37" s="704"/>
      <c r="LET37" s="704"/>
      <c r="LEU37" s="704"/>
      <c r="LEV37" s="704"/>
      <c r="LEW37" s="704"/>
      <c r="LEX37" s="704"/>
      <c r="LEY37" s="704"/>
      <c r="LEZ37" s="704"/>
      <c r="LFA37" s="704"/>
      <c r="LFB37" s="704"/>
      <c r="LFC37" s="704"/>
      <c r="LFD37" s="704"/>
      <c r="LFE37" s="704"/>
      <c r="LFF37" s="704"/>
      <c r="LFG37" s="704"/>
      <c r="LFH37" s="704"/>
      <c r="LFI37" s="704"/>
      <c r="LFJ37" s="704"/>
      <c r="LFK37" s="704"/>
      <c r="LFL37" s="704"/>
      <c r="LFM37" s="704"/>
      <c r="LFN37" s="704"/>
      <c r="LFO37" s="704"/>
      <c r="LFP37" s="704"/>
      <c r="LFQ37" s="704"/>
      <c r="LFR37" s="704"/>
      <c r="LFS37" s="704"/>
      <c r="LFT37" s="704"/>
      <c r="LFU37" s="704"/>
      <c r="LFV37" s="704"/>
      <c r="LFW37" s="704"/>
      <c r="LFX37" s="704"/>
      <c r="LFY37" s="704"/>
      <c r="LFZ37" s="704"/>
      <c r="LGA37" s="704"/>
      <c r="LGB37" s="704"/>
      <c r="LGC37" s="704"/>
      <c r="LGD37" s="704"/>
      <c r="LGE37" s="704"/>
      <c r="LGF37" s="704"/>
      <c r="LGG37" s="704"/>
      <c r="LGH37" s="704"/>
      <c r="LGI37" s="704"/>
      <c r="LGJ37" s="704"/>
      <c r="LGK37" s="704"/>
      <c r="LGL37" s="704"/>
      <c r="LGM37" s="704"/>
      <c r="LGN37" s="704"/>
      <c r="LGO37" s="704"/>
      <c r="LGP37" s="704"/>
      <c r="LGQ37" s="704"/>
      <c r="LGR37" s="704"/>
      <c r="LGS37" s="704"/>
      <c r="LGT37" s="704"/>
      <c r="LGU37" s="704"/>
      <c r="LGV37" s="704"/>
      <c r="LGW37" s="704"/>
      <c r="LGX37" s="704"/>
      <c r="LGY37" s="704"/>
      <c r="LGZ37" s="704"/>
      <c r="LHA37" s="704"/>
      <c r="LHB37" s="704"/>
      <c r="LHC37" s="704"/>
      <c r="LHD37" s="704"/>
      <c r="LHE37" s="704"/>
      <c r="LHF37" s="704"/>
      <c r="LHG37" s="704"/>
      <c r="LHH37" s="704"/>
      <c r="LHI37" s="704"/>
      <c r="LHJ37" s="704"/>
      <c r="LHK37" s="704"/>
      <c r="LHL37" s="704"/>
      <c r="LHM37" s="704"/>
      <c r="LHN37" s="704"/>
      <c r="LHO37" s="704"/>
      <c r="LHP37" s="704"/>
      <c r="LHQ37" s="704"/>
      <c r="LHR37" s="704"/>
      <c r="LHS37" s="704"/>
      <c r="LHT37" s="704"/>
      <c r="LHU37" s="704"/>
      <c r="LHV37" s="704"/>
      <c r="LHW37" s="704"/>
      <c r="LHX37" s="704"/>
      <c r="LHY37" s="704"/>
      <c r="LHZ37" s="704"/>
      <c r="LIA37" s="704"/>
      <c r="LIB37" s="704"/>
      <c r="LIC37" s="704"/>
      <c r="LID37" s="704"/>
      <c r="LIE37" s="704"/>
      <c r="LIF37" s="704"/>
      <c r="LIG37" s="704"/>
      <c r="LIH37" s="704"/>
      <c r="LII37" s="704"/>
      <c r="LIJ37" s="704"/>
      <c r="LIK37" s="704"/>
      <c r="LIL37" s="704"/>
      <c r="LIM37" s="704"/>
      <c r="LIN37" s="704"/>
      <c r="LIO37" s="704"/>
      <c r="LIP37" s="704"/>
      <c r="LIQ37" s="704"/>
      <c r="LIR37" s="704"/>
      <c r="LIS37" s="704"/>
      <c r="LIT37" s="704"/>
      <c r="LIU37" s="704"/>
      <c r="LIV37" s="704"/>
      <c r="LIW37" s="704"/>
      <c r="LIX37" s="704"/>
      <c r="LIY37" s="704"/>
      <c r="LIZ37" s="704"/>
      <c r="LJA37" s="704"/>
      <c r="LJB37" s="704"/>
      <c r="LJC37" s="704"/>
      <c r="LJD37" s="704"/>
      <c r="LJE37" s="704"/>
      <c r="LJF37" s="704"/>
      <c r="LJG37" s="704"/>
      <c r="LJH37" s="704"/>
      <c r="LJI37" s="704"/>
      <c r="LJJ37" s="704"/>
      <c r="LJK37" s="704"/>
      <c r="LJL37" s="704"/>
      <c r="LJM37" s="704"/>
      <c r="LJN37" s="704"/>
      <c r="LJO37" s="704"/>
      <c r="LJP37" s="704"/>
      <c r="LJQ37" s="704"/>
      <c r="LJR37" s="704"/>
      <c r="LJS37" s="704"/>
      <c r="LJT37" s="704"/>
      <c r="LJU37" s="704"/>
      <c r="LJV37" s="704"/>
      <c r="LJW37" s="704"/>
      <c r="LJX37" s="704"/>
      <c r="LJY37" s="704"/>
      <c r="LJZ37" s="704"/>
      <c r="LKA37" s="704"/>
      <c r="LKB37" s="704"/>
      <c r="LKC37" s="704"/>
      <c r="LKD37" s="704"/>
      <c r="LKE37" s="704"/>
      <c r="LKF37" s="704"/>
      <c r="LKG37" s="704"/>
      <c r="LKH37" s="704"/>
      <c r="LKI37" s="704"/>
      <c r="LKJ37" s="704"/>
      <c r="LKK37" s="704"/>
      <c r="LKL37" s="704"/>
      <c r="LKM37" s="704"/>
      <c r="LKN37" s="704"/>
      <c r="LKO37" s="704"/>
      <c r="LKP37" s="704"/>
      <c r="LKQ37" s="704"/>
      <c r="LKR37" s="704"/>
      <c r="LKS37" s="704"/>
      <c r="LKT37" s="704"/>
      <c r="LKU37" s="704"/>
      <c r="LKV37" s="704"/>
      <c r="LKW37" s="704"/>
      <c r="LKX37" s="704"/>
      <c r="LKY37" s="704"/>
      <c r="LKZ37" s="704"/>
      <c r="LLA37" s="704"/>
      <c r="LLB37" s="704"/>
      <c r="LLC37" s="704"/>
      <c r="LLD37" s="704"/>
      <c r="LLE37" s="704"/>
      <c r="LLF37" s="704"/>
      <c r="LLG37" s="704"/>
      <c r="LLH37" s="704"/>
      <c r="LLI37" s="704"/>
      <c r="LLJ37" s="704"/>
      <c r="LLK37" s="704"/>
      <c r="LLL37" s="704"/>
      <c r="LLM37" s="704"/>
      <c r="LLN37" s="704"/>
      <c r="LLO37" s="704"/>
      <c r="LLP37" s="704"/>
      <c r="LLQ37" s="704"/>
      <c r="LLR37" s="704"/>
      <c r="LLS37" s="704"/>
      <c r="LLT37" s="704"/>
      <c r="LLU37" s="704"/>
      <c r="LLV37" s="704"/>
      <c r="LLW37" s="704"/>
      <c r="LLX37" s="704"/>
      <c r="LLY37" s="704"/>
      <c r="LLZ37" s="704"/>
      <c r="LMA37" s="704"/>
      <c r="LMB37" s="704"/>
      <c r="LMC37" s="704"/>
      <c r="LMD37" s="704"/>
      <c r="LME37" s="704"/>
      <c r="LMF37" s="704"/>
      <c r="LMG37" s="704"/>
      <c r="LMH37" s="704"/>
      <c r="LMI37" s="704"/>
      <c r="LMJ37" s="704"/>
      <c r="LMK37" s="704"/>
      <c r="LML37" s="704"/>
      <c r="LMM37" s="704"/>
      <c r="LMN37" s="704"/>
      <c r="LMO37" s="704"/>
      <c r="LMP37" s="704"/>
      <c r="LMQ37" s="704"/>
      <c r="LMR37" s="704"/>
      <c r="LMS37" s="704"/>
      <c r="LMT37" s="704"/>
      <c r="LMU37" s="704"/>
      <c r="LMV37" s="704"/>
      <c r="LMW37" s="704"/>
      <c r="LMX37" s="704"/>
      <c r="LMY37" s="704"/>
      <c r="LMZ37" s="704"/>
      <c r="LNA37" s="704"/>
      <c r="LNB37" s="704"/>
      <c r="LNC37" s="704"/>
      <c r="LND37" s="704"/>
      <c r="LNE37" s="704"/>
      <c r="LNF37" s="704"/>
      <c r="LNG37" s="704"/>
      <c r="LNH37" s="704"/>
      <c r="LNI37" s="704"/>
      <c r="LNJ37" s="704"/>
      <c r="LNK37" s="704"/>
      <c r="LNL37" s="704"/>
      <c r="LNM37" s="704"/>
      <c r="LNN37" s="704"/>
      <c r="LNO37" s="704"/>
      <c r="LNP37" s="704"/>
      <c r="LNQ37" s="704"/>
      <c r="LNR37" s="704"/>
      <c r="LNS37" s="704"/>
      <c r="LNT37" s="704"/>
      <c r="LNU37" s="704"/>
      <c r="LNV37" s="704"/>
      <c r="LNW37" s="704"/>
      <c r="LNX37" s="704"/>
      <c r="LNY37" s="704"/>
      <c r="LNZ37" s="704"/>
      <c r="LOA37" s="704"/>
      <c r="LOB37" s="704"/>
      <c r="LOC37" s="704"/>
      <c r="LOD37" s="704"/>
      <c r="LOE37" s="704"/>
      <c r="LOF37" s="704"/>
      <c r="LOG37" s="704"/>
      <c r="LOH37" s="704"/>
      <c r="LOI37" s="704"/>
      <c r="LOJ37" s="704"/>
      <c r="LOK37" s="704"/>
      <c r="LOL37" s="704"/>
      <c r="LOM37" s="704"/>
      <c r="LON37" s="704"/>
      <c r="LOO37" s="704"/>
      <c r="LOP37" s="704"/>
      <c r="LOQ37" s="704"/>
      <c r="LOR37" s="704"/>
      <c r="LOS37" s="704"/>
      <c r="LOT37" s="704"/>
      <c r="LOU37" s="704"/>
      <c r="LOV37" s="704"/>
      <c r="LOW37" s="704"/>
      <c r="LOX37" s="704"/>
      <c r="LOY37" s="704"/>
      <c r="LOZ37" s="704"/>
      <c r="LPA37" s="704"/>
      <c r="LPB37" s="704"/>
      <c r="LPC37" s="704"/>
      <c r="LPD37" s="704"/>
      <c r="LPE37" s="704"/>
      <c r="LPF37" s="704"/>
      <c r="LPG37" s="704"/>
      <c r="LPH37" s="704"/>
      <c r="LPI37" s="704"/>
      <c r="LPJ37" s="704"/>
      <c r="LPK37" s="704"/>
      <c r="LPL37" s="704"/>
      <c r="LPM37" s="704"/>
      <c r="LPN37" s="704"/>
      <c r="LPO37" s="704"/>
      <c r="LPP37" s="704"/>
      <c r="LPQ37" s="704"/>
      <c r="LPR37" s="704"/>
      <c r="LPS37" s="704"/>
      <c r="LPT37" s="704"/>
      <c r="LPU37" s="704"/>
      <c r="LPV37" s="704"/>
      <c r="LPW37" s="704"/>
      <c r="LPX37" s="704"/>
      <c r="LPY37" s="704"/>
      <c r="LPZ37" s="704"/>
      <c r="LQA37" s="704"/>
      <c r="LQB37" s="704"/>
      <c r="LQC37" s="704"/>
      <c r="LQD37" s="704"/>
      <c r="LQE37" s="704"/>
      <c r="LQF37" s="704"/>
      <c r="LQG37" s="704"/>
      <c r="LQH37" s="704"/>
      <c r="LQI37" s="704"/>
      <c r="LQJ37" s="704"/>
      <c r="LQK37" s="704"/>
      <c r="LQL37" s="704"/>
      <c r="LQM37" s="704"/>
      <c r="LQN37" s="704"/>
      <c r="LQO37" s="704"/>
      <c r="LQP37" s="704"/>
      <c r="LQQ37" s="704"/>
      <c r="LQR37" s="704"/>
      <c r="LQS37" s="704"/>
      <c r="LQT37" s="704"/>
      <c r="LQU37" s="704"/>
      <c r="LQV37" s="704"/>
      <c r="LQW37" s="704"/>
      <c r="LQX37" s="704"/>
      <c r="LQY37" s="704"/>
      <c r="LQZ37" s="704"/>
      <c r="LRA37" s="704"/>
      <c r="LRB37" s="704"/>
      <c r="LRC37" s="704"/>
      <c r="LRD37" s="704"/>
      <c r="LRE37" s="704"/>
      <c r="LRF37" s="704"/>
      <c r="LRG37" s="704"/>
      <c r="LRH37" s="704"/>
      <c r="LRI37" s="704"/>
      <c r="LRJ37" s="704"/>
      <c r="LRK37" s="704"/>
      <c r="LRL37" s="704"/>
      <c r="LRM37" s="704"/>
      <c r="LRN37" s="704"/>
      <c r="LRO37" s="704"/>
      <c r="LRP37" s="704"/>
      <c r="LRQ37" s="704"/>
      <c r="LRR37" s="704"/>
      <c r="LRS37" s="704"/>
      <c r="LRT37" s="704"/>
      <c r="LRU37" s="704"/>
      <c r="LRV37" s="704"/>
      <c r="LRW37" s="704"/>
      <c r="LRX37" s="704"/>
      <c r="LRY37" s="704"/>
      <c r="LRZ37" s="704"/>
      <c r="LSA37" s="704"/>
      <c r="LSB37" s="704"/>
      <c r="LSC37" s="704"/>
      <c r="LSD37" s="704"/>
      <c r="LSE37" s="704"/>
      <c r="LSF37" s="704"/>
      <c r="LSG37" s="704"/>
      <c r="LSH37" s="704"/>
      <c r="LSI37" s="704"/>
      <c r="LSJ37" s="704"/>
      <c r="LSK37" s="704"/>
      <c r="LSL37" s="704"/>
      <c r="LSM37" s="704"/>
      <c r="LSN37" s="704"/>
      <c r="LSO37" s="704"/>
      <c r="LSP37" s="704"/>
      <c r="LSQ37" s="704"/>
      <c r="LSR37" s="704"/>
      <c r="LSS37" s="704"/>
      <c r="LST37" s="704"/>
      <c r="LSU37" s="704"/>
      <c r="LSV37" s="704"/>
      <c r="LSW37" s="704"/>
      <c r="LSX37" s="704"/>
      <c r="LSY37" s="704"/>
      <c r="LSZ37" s="704"/>
      <c r="LTA37" s="704"/>
      <c r="LTB37" s="704"/>
      <c r="LTC37" s="704"/>
      <c r="LTD37" s="704"/>
      <c r="LTE37" s="704"/>
      <c r="LTF37" s="704"/>
      <c r="LTG37" s="704"/>
      <c r="LTH37" s="704"/>
      <c r="LTI37" s="704"/>
      <c r="LTJ37" s="704"/>
      <c r="LTK37" s="704"/>
      <c r="LTL37" s="704"/>
      <c r="LTM37" s="704"/>
      <c r="LTN37" s="704"/>
      <c r="LTO37" s="704"/>
      <c r="LTP37" s="704"/>
      <c r="LTQ37" s="704"/>
      <c r="LTR37" s="704"/>
      <c r="LTS37" s="704"/>
      <c r="LTT37" s="704"/>
      <c r="LTU37" s="704"/>
      <c r="LTV37" s="704"/>
      <c r="LTW37" s="704"/>
      <c r="LTX37" s="704"/>
      <c r="LTY37" s="704"/>
      <c r="LTZ37" s="704"/>
      <c r="LUA37" s="704"/>
      <c r="LUB37" s="704"/>
      <c r="LUC37" s="704"/>
      <c r="LUD37" s="704"/>
      <c r="LUE37" s="704"/>
      <c r="LUF37" s="704"/>
      <c r="LUG37" s="704"/>
      <c r="LUH37" s="704"/>
      <c r="LUI37" s="704"/>
      <c r="LUJ37" s="704"/>
      <c r="LUK37" s="704"/>
      <c r="LUL37" s="704"/>
      <c r="LUM37" s="704"/>
      <c r="LUN37" s="704"/>
      <c r="LUO37" s="704"/>
      <c r="LUP37" s="704"/>
      <c r="LUQ37" s="704"/>
      <c r="LUR37" s="704"/>
      <c r="LUS37" s="704"/>
      <c r="LUT37" s="704"/>
      <c r="LUU37" s="704"/>
      <c r="LUV37" s="704"/>
      <c r="LUW37" s="704"/>
      <c r="LUX37" s="704"/>
      <c r="LUY37" s="704"/>
      <c r="LUZ37" s="704"/>
      <c r="LVA37" s="704"/>
      <c r="LVB37" s="704"/>
      <c r="LVC37" s="704"/>
      <c r="LVD37" s="704"/>
      <c r="LVE37" s="704"/>
      <c r="LVF37" s="704"/>
      <c r="LVG37" s="704"/>
      <c r="LVH37" s="704"/>
      <c r="LVI37" s="704"/>
      <c r="LVJ37" s="704"/>
      <c r="LVK37" s="704"/>
      <c r="LVL37" s="704"/>
      <c r="LVM37" s="704"/>
      <c r="LVN37" s="704"/>
      <c r="LVO37" s="704"/>
      <c r="LVP37" s="704"/>
      <c r="LVQ37" s="704"/>
      <c r="LVR37" s="704"/>
      <c r="LVS37" s="704"/>
      <c r="LVT37" s="704"/>
      <c r="LVU37" s="704"/>
      <c r="LVV37" s="704"/>
      <c r="LVW37" s="704"/>
      <c r="LVX37" s="704"/>
      <c r="LVY37" s="704"/>
      <c r="LVZ37" s="704"/>
      <c r="LWA37" s="704"/>
      <c r="LWB37" s="704"/>
      <c r="LWC37" s="704"/>
      <c r="LWD37" s="704"/>
      <c r="LWE37" s="704"/>
      <c r="LWF37" s="704"/>
      <c r="LWG37" s="704"/>
      <c r="LWH37" s="704"/>
      <c r="LWI37" s="704"/>
      <c r="LWJ37" s="704"/>
      <c r="LWK37" s="704"/>
      <c r="LWL37" s="704"/>
      <c r="LWM37" s="704"/>
      <c r="LWN37" s="704"/>
      <c r="LWO37" s="704"/>
      <c r="LWP37" s="704"/>
      <c r="LWQ37" s="704"/>
      <c r="LWR37" s="704"/>
      <c r="LWS37" s="704"/>
      <c r="LWT37" s="704"/>
      <c r="LWU37" s="704"/>
      <c r="LWV37" s="704"/>
      <c r="LWW37" s="704"/>
      <c r="LWX37" s="704"/>
      <c r="LWY37" s="704"/>
      <c r="LWZ37" s="704"/>
      <c r="LXA37" s="704"/>
      <c r="LXB37" s="704"/>
      <c r="LXC37" s="704"/>
      <c r="LXD37" s="704"/>
      <c r="LXE37" s="704"/>
      <c r="LXF37" s="704"/>
      <c r="LXG37" s="704"/>
      <c r="LXH37" s="704"/>
      <c r="LXI37" s="704"/>
      <c r="LXJ37" s="704"/>
      <c r="LXK37" s="704"/>
      <c r="LXL37" s="704"/>
      <c r="LXM37" s="704"/>
      <c r="LXN37" s="704"/>
      <c r="LXO37" s="704"/>
      <c r="LXP37" s="704"/>
      <c r="LXQ37" s="704"/>
      <c r="LXR37" s="704"/>
      <c r="LXS37" s="704"/>
      <c r="LXT37" s="704"/>
      <c r="LXU37" s="704"/>
      <c r="LXV37" s="704"/>
      <c r="LXW37" s="704"/>
      <c r="LXX37" s="704"/>
      <c r="LXY37" s="704"/>
      <c r="LXZ37" s="704"/>
      <c r="LYA37" s="704"/>
      <c r="LYB37" s="704"/>
      <c r="LYC37" s="704"/>
      <c r="LYD37" s="704"/>
      <c r="LYE37" s="704"/>
      <c r="LYF37" s="704"/>
      <c r="LYG37" s="704"/>
      <c r="LYH37" s="704"/>
      <c r="LYI37" s="704"/>
      <c r="LYJ37" s="704"/>
      <c r="LYK37" s="704"/>
      <c r="LYL37" s="704"/>
      <c r="LYM37" s="704"/>
      <c r="LYN37" s="704"/>
      <c r="LYO37" s="704"/>
      <c r="LYP37" s="704"/>
      <c r="LYQ37" s="704"/>
      <c r="LYR37" s="704"/>
      <c r="LYS37" s="704"/>
      <c r="LYT37" s="704"/>
      <c r="LYU37" s="704"/>
      <c r="LYV37" s="704"/>
      <c r="LYW37" s="704"/>
      <c r="LYX37" s="704"/>
      <c r="LYY37" s="704"/>
      <c r="LYZ37" s="704"/>
      <c r="LZA37" s="704"/>
      <c r="LZB37" s="704"/>
      <c r="LZC37" s="704"/>
      <c r="LZD37" s="704"/>
      <c r="LZE37" s="704"/>
      <c r="LZF37" s="704"/>
      <c r="LZG37" s="704"/>
      <c r="LZH37" s="704"/>
      <c r="LZI37" s="704"/>
      <c r="LZJ37" s="704"/>
      <c r="LZK37" s="704"/>
      <c r="LZL37" s="704"/>
      <c r="LZM37" s="704"/>
      <c r="LZN37" s="704"/>
      <c r="LZO37" s="704"/>
      <c r="LZP37" s="704"/>
      <c r="LZQ37" s="704"/>
      <c r="LZR37" s="704"/>
      <c r="LZS37" s="704"/>
      <c r="LZT37" s="704"/>
      <c r="LZU37" s="704"/>
      <c r="LZV37" s="704"/>
      <c r="LZW37" s="704"/>
      <c r="LZX37" s="704"/>
      <c r="LZY37" s="704"/>
      <c r="LZZ37" s="704"/>
      <c r="MAA37" s="704"/>
      <c r="MAB37" s="704"/>
      <c r="MAC37" s="704"/>
      <c r="MAD37" s="704"/>
      <c r="MAE37" s="704"/>
      <c r="MAF37" s="704"/>
      <c r="MAG37" s="704"/>
      <c r="MAH37" s="704"/>
      <c r="MAI37" s="704"/>
      <c r="MAJ37" s="704"/>
      <c r="MAK37" s="704"/>
      <c r="MAL37" s="704"/>
      <c r="MAM37" s="704"/>
      <c r="MAN37" s="704"/>
      <c r="MAO37" s="704"/>
      <c r="MAP37" s="704"/>
      <c r="MAQ37" s="704"/>
      <c r="MAR37" s="704"/>
      <c r="MAS37" s="704"/>
      <c r="MAT37" s="704"/>
      <c r="MAU37" s="704"/>
      <c r="MAV37" s="704"/>
      <c r="MAW37" s="704"/>
      <c r="MAX37" s="704"/>
      <c r="MAY37" s="704"/>
      <c r="MAZ37" s="704"/>
      <c r="MBA37" s="704"/>
      <c r="MBB37" s="704"/>
      <c r="MBC37" s="704"/>
      <c r="MBD37" s="704"/>
      <c r="MBE37" s="704"/>
      <c r="MBF37" s="704"/>
      <c r="MBG37" s="704"/>
      <c r="MBH37" s="704"/>
      <c r="MBI37" s="704"/>
      <c r="MBJ37" s="704"/>
      <c r="MBK37" s="704"/>
      <c r="MBL37" s="704"/>
      <c r="MBM37" s="704"/>
      <c r="MBN37" s="704"/>
      <c r="MBO37" s="704"/>
      <c r="MBP37" s="704"/>
      <c r="MBQ37" s="704"/>
      <c r="MBR37" s="704"/>
      <c r="MBS37" s="704"/>
      <c r="MBT37" s="704"/>
      <c r="MBU37" s="704"/>
      <c r="MBV37" s="704"/>
      <c r="MBW37" s="704"/>
      <c r="MBX37" s="704"/>
      <c r="MBY37" s="704"/>
      <c r="MBZ37" s="704"/>
      <c r="MCA37" s="704"/>
      <c r="MCB37" s="704"/>
      <c r="MCC37" s="704"/>
      <c r="MCD37" s="704"/>
      <c r="MCE37" s="704"/>
      <c r="MCF37" s="704"/>
      <c r="MCG37" s="704"/>
      <c r="MCH37" s="704"/>
      <c r="MCI37" s="704"/>
      <c r="MCJ37" s="704"/>
      <c r="MCK37" s="704"/>
      <c r="MCL37" s="704"/>
      <c r="MCM37" s="704"/>
      <c r="MCN37" s="704"/>
      <c r="MCO37" s="704"/>
      <c r="MCP37" s="704"/>
      <c r="MCQ37" s="704"/>
      <c r="MCR37" s="704"/>
      <c r="MCS37" s="704"/>
      <c r="MCT37" s="704"/>
      <c r="MCU37" s="704"/>
      <c r="MCV37" s="704"/>
      <c r="MCW37" s="704"/>
      <c r="MCX37" s="704"/>
      <c r="MCY37" s="704"/>
      <c r="MCZ37" s="704"/>
      <c r="MDA37" s="704"/>
      <c r="MDB37" s="704"/>
      <c r="MDC37" s="704"/>
      <c r="MDD37" s="704"/>
      <c r="MDE37" s="704"/>
      <c r="MDF37" s="704"/>
      <c r="MDG37" s="704"/>
      <c r="MDH37" s="704"/>
      <c r="MDI37" s="704"/>
      <c r="MDJ37" s="704"/>
      <c r="MDK37" s="704"/>
      <c r="MDL37" s="704"/>
      <c r="MDM37" s="704"/>
      <c r="MDN37" s="704"/>
      <c r="MDO37" s="704"/>
      <c r="MDP37" s="704"/>
      <c r="MDQ37" s="704"/>
      <c r="MDR37" s="704"/>
      <c r="MDS37" s="704"/>
      <c r="MDT37" s="704"/>
      <c r="MDU37" s="704"/>
      <c r="MDV37" s="704"/>
      <c r="MDW37" s="704"/>
      <c r="MDX37" s="704"/>
      <c r="MDY37" s="704"/>
      <c r="MDZ37" s="704"/>
      <c r="MEA37" s="704"/>
      <c r="MEB37" s="704"/>
      <c r="MEC37" s="704"/>
      <c r="MED37" s="704"/>
      <c r="MEE37" s="704"/>
      <c r="MEF37" s="704"/>
      <c r="MEG37" s="704"/>
      <c r="MEH37" s="704"/>
      <c r="MEI37" s="704"/>
      <c r="MEJ37" s="704"/>
      <c r="MEK37" s="704"/>
      <c r="MEL37" s="704"/>
      <c r="MEM37" s="704"/>
      <c r="MEN37" s="704"/>
      <c r="MEO37" s="704"/>
      <c r="MEP37" s="704"/>
      <c r="MEQ37" s="704"/>
      <c r="MER37" s="704"/>
      <c r="MES37" s="704"/>
      <c r="MET37" s="704"/>
      <c r="MEU37" s="704"/>
      <c r="MEV37" s="704"/>
      <c r="MEW37" s="704"/>
      <c r="MEX37" s="704"/>
      <c r="MEY37" s="704"/>
      <c r="MEZ37" s="704"/>
      <c r="MFA37" s="704"/>
      <c r="MFB37" s="704"/>
      <c r="MFC37" s="704"/>
      <c r="MFD37" s="704"/>
      <c r="MFE37" s="704"/>
      <c r="MFF37" s="704"/>
      <c r="MFG37" s="704"/>
      <c r="MFH37" s="704"/>
      <c r="MFI37" s="704"/>
      <c r="MFJ37" s="704"/>
      <c r="MFK37" s="704"/>
      <c r="MFL37" s="704"/>
      <c r="MFM37" s="704"/>
      <c r="MFN37" s="704"/>
      <c r="MFO37" s="704"/>
      <c r="MFP37" s="704"/>
      <c r="MFQ37" s="704"/>
      <c r="MFR37" s="704"/>
      <c r="MFS37" s="704"/>
      <c r="MFT37" s="704"/>
      <c r="MFU37" s="704"/>
      <c r="MFV37" s="704"/>
      <c r="MFW37" s="704"/>
      <c r="MFX37" s="704"/>
      <c r="MFY37" s="704"/>
      <c r="MFZ37" s="704"/>
      <c r="MGA37" s="704"/>
      <c r="MGB37" s="704"/>
      <c r="MGC37" s="704"/>
      <c r="MGD37" s="704"/>
      <c r="MGE37" s="704"/>
      <c r="MGF37" s="704"/>
      <c r="MGG37" s="704"/>
      <c r="MGH37" s="704"/>
      <c r="MGI37" s="704"/>
      <c r="MGJ37" s="704"/>
      <c r="MGK37" s="704"/>
      <c r="MGL37" s="704"/>
      <c r="MGM37" s="704"/>
      <c r="MGN37" s="704"/>
      <c r="MGO37" s="704"/>
      <c r="MGP37" s="704"/>
      <c r="MGQ37" s="704"/>
      <c r="MGR37" s="704"/>
      <c r="MGS37" s="704"/>
      <c r="MGT37" s="704"/>
      <c r="MGU37" s="704"/>
      <c r="MGV37" s="704"/>
      <c r="MGW37" s="704"/>
      <c r="MGX37" s="704"/>
      <c r="MGY37" s="704"/>
      <c r="MGZ37" s="704"/>
      <c r="MHA37" s="704"/>
      <c r="MHB37" s="704"/>
      <c r="MHC37" s="704"/>
      <c r="MHD37" s="704"/>
      <c r="MHE37" s="704"/>
      <c r="MHF37" s="704"/>
      <c r="MHG37" s="704"/>
      <c r="MHH37" s="704"/>
      <c r="MHI37" s="704"/>
      <c r="MHJ37" s="704"/>
      <c r="MHK37" s="704"/>
      <c r="MHL37" s="704"/>
      <c r="MHM37" s="704"/>
      <c r="MHN37" s="704"/>
      <c r="MHO37" s="704"/>
      <c r="MHP37" s="704"/>
      <c r="MHQ37" s="704"/>
      <c r="MHR37" s="704"/>
      <c r="MHS37" s="704"/>
      <c r="MHT37" s="704"/>
      <c r="MHU37" s="704"/>
      <c r="MHV37" s="704"/>
      <c r="MHW37" s="704"/>
      <c r="MHX37" s="704"/>
      <c r="MHY37" s="704"/>
      <c r="MHZ37" s="704"/>
      <c r="MIA37" s="704"/>
      <c r="MIB37" s="704"/>
      <c r="MIC37" s="704"/>
      <c r="MID37" s="704"/>
      <c r="MIE37" s="704"/>
      <c r="MIF37" s="704"/>
      <c r="MIG37" s="704"/>
      <c r="MIH37" s="704"/>
      <c r="MII37" s="704"/>
      <c r="MIJ37" s="704"/>
      <c r="MIK37" s="704"/>
      <c r="MIL37" s="704"/>
      <c r="MIM37" s="704"/>
      <c r="MIN37" s="704"/>
      <c r="MIO37" s="704"/>
      <c r="MIP37" s="704"/>
      <c r="MIQ37" s="704"/>
      <c r="MIR37" s="704"/>
      <c r="MIS37" s="704"/>
      <c r="MIT37" s="704"/>
      <c r="MIU37" s="704"/>
      <c r="MIV37" s="704"/>
      <c r="MIW37" s="704"/>
      <c r="MIX37" s="704"/>
      <c r="MIY37" s="704"/>
      <c r="MIZ37" s="704"/>
      <c r="MJA37" s="704"/>
      <c r="MJB37" s="704"/>
      <c r="MJC37" s="704"/>
      <c r="MJD37" s="704"/>
      <c r="MJE37" s="704"/>
      <c r="MJF37" s="704"/>
      <c r="MJG37" s="704"/>
      <c r="MJH37" s="704"/>
      <c r="MJI37" s="704"/>
      <c r="MJJ37" s="704"/>
      <c r="MJK37" s="704"/>
      <c r="MJL37" s="704"/>
      <c r="MJM37" s="704"/>
      <c r="MJN37" s="704"/>
      <c r="MJO37" s="704"/>
      <c r="MJP37" s="704"/>
      <c r="MJQ37" s="704"/>
      <c r="MJR37" s="704"/>
      <c r="MJS37" s="704"/>
      <c r="MJT37" s="704"/>
      <c r="MJU37" s="704"/>
      <c r="MJV37" s="704"/>
      <c r="MJW37" s="704"/>
      <c r="MJX37" s="704"/>
      <c r="MJY37" s="704"/>
      <c r="MJZ37" s="704"/>
      <c r="MKA37" s="704"/>
      <c r="MKB37" s="704"/>
      <c r="MKC37" s="704"/>
      <c r="MKD37" s="704"/>
      <c r="MKE37" s="704"/>
      <c r="MKF37" s="704"/>
      <c r="MKG37" s="704"/>
      <c r="MKH37" s="704"/>
      <c r="MKI37" s="704"/>
      <c r="MKJ37" s="704"/>
      <c r="MKK37" s="704"/>
      <c r="MKL37" s="704"/>
      <c r="MKM37" s="704"/>
      <c r="MKN37" s="704"/>
      <c r="MKO37" s="704"/>
      <c r="MKP37" s="704"/>
      <c r="MKQ37" s="704"/>
      <c r="MKR37" s="704"/>
      <c r="MKS37" s="704"/>
      <c r="MKT37" s="704"/>
      <c r="MKU37" s="704"/>
      <c r="MKV37" s="704"/>
      <c r="MKW37" s="704"/>
      <c r="MKX37" s="704"/>
      <c r="MKY37" s="704"/>
      <c r="MKZ37" s="704"/>
      <c r="MLA37" s="704"/>
      <c r="MLB37" s="704"/>
      <c r="MLC37" s="704"/>
      <c r="MLD37" s="704"/>
      <c r="MLE37" s="704"/>
      <c r="MLF37" s="704"/>
      <c r="MLG37" s="704"/>
      <c r="MLH37" s="704"/>
      <c r="MLI37" s="704"/>
      <c r="MLJ37" s="704"/>
      <c r="MLK37" s="704"/>
      <c r="MLL37" s="704"/>
      <c r="MLM37" s="704"/>
      <c r="MLN37" s="704"/>
      <c r="MLO37" s="704"/>
      <c r="MLP37" s="704"/>
      <c r="MLQ37" s="704"/>
      <c r="MLR37" s="704"/>
      <c r="MLS37" s="704"/>
      <c r="MLT37" s="704"/>
      <c r="MLU37" s="704"/>
      <c r="MLV37" s="704"/>
      <c r="MLW37" s="704"/>
      <c r="MLX37" s="704"/>
      <c r="MLY37" s="704"/>
      <c r="MLZ37" s="704"/>
      <c r="MMA37" s="704"/>
      <c r="MMB37" s="704"/>
      <c r="MMC37" s="704"/>
      <c r="MMD37" s="704"/>
      <c r="MME37" s="704"/>
      <c r="MMF37" s="704"/>
      <c r="MMG37" s="704"/>
      <c r="MMH37" s="704"/>
      <c r="MMI37" s="704"/>
      <c r="MMJ37" s="704"/>
      <c r="MMK37" s="704"/>
      <c r="MML37" s="704"/>
      <c r="MMM37" s="704"/>
      <c r="MMN37" s="704"/>
      <c r="MMO37" s="704"/>
      <c r="MMP37" s="704"/>
      <c r="MMQ37" s="704"/>
      <c r="MMR37" s="704"/>
      <c r="MMS37" s="704"/>
      <c r="MMT37" s="704"/>
      <c r="MMU37" s="704"/>
      <c r="MMV37" s="704"/>
      <c r="MMW37" s="704"/>
      <c r="MMX37" s="704"/>
      <c r="MMY37" s="704"/>
      <c r="MMZ37" s="704"/>
      <c r="MNA37" s="704"/>
      <c r="MNB37" s="704"/>
      <c r="MNC37" s="704"/>
      <c r="MND37" s="704"/>
      <c r="MNE37" s="704"/>
      <c r="MNF37" s="704"/>
      <c r="MNG37" s="704"/>
      <c r="MNH37" s="704"/>
      <c r="MNI37" s="704"/>
      <c r="MNJ37" s="704"/>
      <c r="MNK37" s="704"/>
      <c r="MNL37" s="704"/>
      <c r="MNM37" s="704"/>
      <c r="MNN37" s="704"/>
      <c r="MNO37" s="704"/>
      <c r="MNP37" s="704"/>
      <c r="MNQ37" s="704"/>
      <c r="MNR37" s="704"/>
      <c r="MNS37" s="704"/>
      <c r="MNT37" s="704"/>
      <c r="MNU37" s="704"/>
      <c r="MNV37" s="704"/>
      <c r="MNW37" s="704"/>
      <c r="MNX37" s="704"/>
      <c r="MNY37" s="704"/>
      <c r="MNZ37" s="704"/>
      <c r="MOA37" s="704"/>
      <c r="MOB37" s="704"/>
      <c r="MOC37" s="704"/>
      <c r="MOD37" s="704"/>
      <c r="MOE37" s="704"/>
      <c r="MOF37" s="704"/>
      <c r="MOG37" s="704"/>
      <c r="MOH37" s="704"/>
      <c r="MOI37" s="704"/>
      <c r="MOJ37" s="704"/>
      <c r="MOK37" s="704"/>
      <c r="MOL37" s="704"/>
      <c r="MOM37" s="704"/>
      <c r="MON37" s="704"/>
      <c r="MOO37" s="704"/>
      <c r="MOP37" s="704"/>
      <c r="MOQ37" s="704"/>
      <c r="MOR37" s="704"/>
      <c r="MOS37" s="704"/>
      <c r="MOT37" s="704"/>
      <c r="MOU37" s="704"/>
      <c r="MOV37" s="704"/>
      <c r="MOW37" s="704"/>
      <c r="MOX37" s="704"/>
      <c r="MOY37" s="704"/>
      <c r="MOZ37" s="704"/>
      <c r="MPA37" s="704"/>
      <c r="MPB37" s="704"/>
      <c r="MPC37" s="704"/>
      <c r="MPD37" s="704"/>
      <c r="MPE37" s="704"/>
      <c r="MPF37" s="704"/>
      <c r="MPG37" s="704"/>
      <c r="MPH37" s="704"/>
      <c r="MPI37" s="704"/>
      <c r="MPJ37" s="704"/>
      <c r="MPK37" s="704"/>
      <c r="MPL37" s="704"/>
      <c r="MPM37" s="704"/>
      <c r="MPN37" s="704"/>
      <c r="MPO37" s="704"/>
      <c r="MPP37" s="704"/>
      <c r="MPQ37" s="704"/>
      <c r="MPR37" s="704"/>
      <c r="MPS37" s="704"/>
      <c r="MPT37" s="704"/>
      <c r="MPU37" s="704"/>
      <c r="MPV37" s="704"/>
      <c r="MPW37" s="704"/>
      <c r="MPX37" s="704"/>
      <c r="MPY37" s="704"/>
      <c r="MPZ37" s="704"/>
      <c r="MQA37" s="704"/>
      <c r="MQB37" s="704"/>
      <c r="MQC37" s="704"/>
      <c r="MQD37" s="704"/>
      <c r="MQE37" s="704"/>
      <c r="MQF37" s="704"/>
      <c r="MQG37" s="704"/>
      <c r="MQH37" s="704"/>
      <c r="MQI37" s="704"/>
      <c r="MQJ37" s="704"/>
      <c r="MQK37" s="704"/>
      <c r="MQL37" s="704"/>
      <c r="MQM37" s="704"/>
      <c r="MQN37" s="704"/>
      <c r="MQO37" s="704"/>
      <c r="MQP37" s="704"/>
      <c r="MQQ37" s="704"/>
      <c r="MQR37" s="704"/>
      <c r="MQS37" s="704"/>
      <c r="MQT37" s="704"/>
      <c r="MQU37" s="704"/>
      <c r="MQV37" s="704"/>
      <c r="MQW37" s="704"/>
      <c r="MQX37" s="704"/>
      <c r="MQY37" s="704"/>
      <c r="MQZ37" s="704"/>
      <c r="MRA37" s="704"/>
      <c r="MRB37" s="704"/>
      <c r="MRC37" s="704"/>
      <c r="MRD37" s="704"/>
      <c r="MRE37" s="704"/>
      <c r="MRF37" s="704"/>
      <c r="MRG37" s="704"/>
      <c r="MRH37" s="704"/>
      <c r="MRI37" s="704"/>
      <c r="MRJ37" s="704"/>
      <c r="MRK37" s="704"/>
      <c r="MRL37" s="704"/>
      <c r="MRM37" s="704"/>
      <c r="MRN37" s="704"/>
      <c r="MRO37" s="704"/>
      <c r="MRP37" s="704"/>
      <c r="MRQ37" s="704"/>
      <c r="MRR37" s="704"/>
      <c r="MRS37" s="704"/>
      <c r="MRT37" s="704"/>
      <c r="MRU37" s="704"/>
      <c r="MRV37" s="704"/>
      <c r="MRW37" s="704"/>
      <c r="MRX37" s="704"/>
      <c r="MRY37" s="704"/>
      <c r="MRZ37" s="704"/>
      <c r="MSA37" s="704"/>
      <c r="MSB37" s="704"/>
      <c r="MSC37" s="704"/>
      <c r="MSD37" s="704"/>
      <c r="MSE37" s="704"/>
      <c r="MSF37" s="704"/>
      <c r="MSG37" s="704"/>
      <c r="MSH37" s="704"/>
      <c r="MSI37" s="704"/>
      <c r="MSJ37" s="704"/>
      <c r="MSK37" s="704"/>
      <c r="MSL37" s="704"/>
      <c r="MSM37" s="704"/>
      <c r="MSN37" s="704"/>
      <c r="MSO37" s="704"/>
      <c r="MSP37" s="704"/>
      <c r="MSQ37" s="704"/>
      <c r="MSR37" s="704"/>
      <c r="MSS37" s="704"/>
      <c r="MST37" s="704"/>
      <c r="MSU37" s="704"/>
      <c r="MSV37" s="704"/>
      <c r="MSW37" s="704"/>
      <c r="MSX37" s="704"/>
      <c r="MSY37" s="704"/>
      <c r="MSZ37" s="704"/>
      <c r="MTA37" s="704"/>
      <c r="MTB37" s="704"/>
      <c r="MTC37" s="704"/>
      <c r="MTD37" s="704"/>
      <c r="MTE37" s="704"/>
      <c r="MTF37" s="704"/>
      <c r="MTG37" s="704"/>
      <c r="MTH37" s="704"/>
      <c r="MTI37" s="704"/>
      <c r="MTJ37" s="704"/>
      <c r="MTK37" s="704"/>
      <c r="MTL37" s="704"/>
      <c r="MTM37" s="704"/>
      <c r="MTN37" s="704"/>
      <c r="MTO37" s="704"/>
      <c r="MTP37" s="704"/>
      <c r="MTQ37" s="704"/>
      <c r="MTR37" s="704"/>
      <c r="MTS37" s="704"/>
      <c r="MTT37" s="704"/>
      <c r="MTU37" s="704"/>
      <c r="MTV37" s="704"/>
      <c r="MTW37" s="704"/>
      <c r="MTX37" s="704"/>
      <c r="MTY37" s="704"/>
      <c r="MTZ37" s="704"/>
      <c r="MUA37" s="704"/>
      <c r="MUB37" s="704"/>
      <c r="MUC37" s="704"/>
      <c r="MUD37" s="704"/>
      <c r="MUE37" s="704"/>
      <c r="MUF37" s="704"/>
      <c r="MUG37" s="704"/>
      <c r="MUH37" s="704"/>
      <c r="MUI37" s="704"/>
      <c r="MUJ37" s="704"/>
      <c r="MUK37" s="704"/>
      <c r="MUL37" s="704"/>
      <c r="MUM37" s="704"/>
      <c r="MUN37" s="704"/>
      <c r="MUO37" s="704"/>
      <c r="MUP37" s="704"/>
      <c r="MUQ37" s="704"/>
      <c r="MUR37" s="704"/>
      <c r="MUS37" s="704"/>
      <c r="MUT37" s="704"/>
      <c r="MUU37" s="704"/>
      <c r="MUV37" s="704"/>
      <c r="MUW37" s="704"/>
      <c r="MUX37" s="704"/>
      <c r="MUY37" s="704"/>
      <c r="MUZ37" s="704"/>
      <c r="MVA37" s="704"/>
      <c r="MVB37" s="704"/>
      <c r="MVC37" s="704"/>
      <c r="MVD37" s="704"/>
      <c r="MVE37" s="704"/>
      <c r="MVF37" s="704"/>
      <c r="MVG37" s="704"/>
      <c r="MVH37" s="704"/>
      <c r="MVI37" s="704"/>
      <c r="MVJ37" s="704"/>
      <c r="MVK37" s="704"/>
      <c r="MVL37" s="704"/>
      <c r="MVM37" s="704"/>
      <c r="MVN37" s="704"/>
      <c r="MVO37" s="704"/>
      <c r="MVP37" s="704"/>
      <c r="MVQ37" s="704"/>
      <c r="MVR37" s="704"/>
      <c r="MVS37" s="704"/>
      <c r="MVT37" s="704"/>
      <c r="MVU37" s="704"/>
      <c r="MVV37" s="704"/>
      <c r="MVW37" s="704"/>
      <c r="MVX37" s="704"/>
      <c r="MVY37" s="704"/>
      <c r="MVZ37" s="704"/>
      <c r="MWA37" s="704"/>
      <c r="MWB37" s="704"/>
      <c r="MWC37" s="704"/>
      <c r="MWD37" s="704"/>
      <c r="MWE37" s="704"/>
      <c r="MWF37" s="704"/>
      <c r="MWG37" s="704"/>
      <c r="MWH37" s="704"/>
      <c r="MWI37" s="704"/>
      <c r="MWJ37" s="704"/>
      <c r="MWK37" s="704"/>
      <c r="MWL37" s="704"/>
      <c r="MWM37" s="704"/>
      <c r="MWN37" s="704"/>
      <c r="MWO37" s="704"/>
      <c r="MWP37" s="704"/>
      <c r="MWQ37" s="704"/>
      <c r="MWR37" s="704"/>
      <c r="MWS37" s="704"/>
      <c r="MWT37" s="704"/>
      <c r="MWU37" s="704"/>
      <c r="MWV37" s="704"/>
      <c r="MWW37" s="704"/>
      <c r="MWX37" s="704"/>
      <c r="MWY37" s="704"/>
      <c r="MWZ37" s="704"/>
      <c r="MXA37" s="704"/>
      <c r="MXB37" s="704"/>
      <c r="MXC37" s="704"/>
      <c r="MXD37" s="704"/>
      <c r="MXE37" s="704"/>
      <c r="MXF37" s="704"/>
      <c r="MXG37" s="704"/>
      <c r="MXH37" s="704"/>
      <c r="MXI37" s="704"/>
      <c r="MXJ37" s="704"/>
      <c r="MXK37" s="704"/>
      <c r="MXL37" s="704"/>
      <c r="MXM37" s="704"/>
      <c r="MXN37" s="704"/>
      <c r="MXO37" s="704"/>
      <c r="MXP37" s="704"/>
      <c r="MXQ37" s="704"/>
      <c r="MXR37" s="704"/>
      <c r="MXS37" s="704"/>
      <c r="MXT37" s="704"/>
      <c r="MXU37" s="704"/>
      <c r="MXV37" s="704"/>
      <c r="MXW37" s="704"/>
      <c r="MXX37" s="704"/>
      <c r="MXY37" s="704"/>
      <c r="MXZ37" s="704"/>
      <c r="MYA37" s="704"/>
      <c r="MYB37" s="704"/>
      <c r="MYC37" s="704"/>
      <c r="MYD37" s="704"/>
      <c r="MYE37" s="704"/>
      <c r="MYF37" s="704"/>
      <c r="MYG37" s="704"/>
      <c r="MYH37" s="704"/>
      <c r="MYI37" s="704"/>
      <c r="MYJ37" s="704"/>
      <c r="MYK37" s="704"/>
      <c r="MYL37" s="704"/>
      <c r="MYM37" s="704"/>
      <c r="MYN37" s="704"/>
      <c r="MYO37" s="704"/>
      <c r="MYP37" s="704"/>
      <c r="MYQ37" s="704"/>
      <c r="MYR37" s="704"/>
      <c r="MYS37" s="704"/>
      <c r="MYT37" s="704"/>
      <c r="MYU37" s="704"/>
      <c r="MYV37" s="704"/>
      <c r="MYW37" s="704"/>
      <c r="MYX37" s="704"/>
      <c r="MYY37" s="704"/>
      <c r="MYZ37" s="704"/>
      <c r="MZA37" s="704"/>
      <c r="MZB37" s="704"/>
      <c r="MZC37" s="704"/>
      <c r="MZD37" s="704"/>
      <c r="MZE37" s="704"/>
      <c r="MZF37" s="704"/>
      <c r="MZG37" s="704"/>
      <c r="MZH37" s="704"/>
      <c r="MZI37" s="704"/>
      <c r="MZJ37" s="704"/>
      <c r="MZK37" s="704"/>
      <c r="MZL37" s="704"/>
      <c r="MZM37" s="704"/>
      <c r="MZN37" s="704"/>
      <c r="MZO37" s="704"/>
      <c r="MZP37" s="704"/>
      <c r="MZQ37" s="704"/>
      <c r="MZR37" s="704"/>
      <c r="MZS37" s="704"/>
      <c r="MZT37" s="704"/>
      <c r="MZU37" s="704"/>
      <c r="MZV37" s="704"/>
      <c r="MZW37" s="704"/>
      <c r="MZX37" s="704"/>
      <c r="MZY37" s="704"/>
      <c r="MZZ37" s="704"/>
      <c r="NAA37" s="704"/>
      <c r="NAB37" s="704"/>
      <c r="NAC37" s="704"/>
      <c r="NAD37" s="704"/>
      <c r="NAE37" s="704"/>
      <c r="NAF37" s="704"/>
      <c r="NAG37" s="704"/>
      <c r="NAH37" s="704"/>
      <c r="NAI37" s="704"/>
      <c r="NAJ37" s="704"/>
      <c r="NAK37" s="704"/>
      <c r="NAL37" s="704"/>
      <c r="NAM37" s="704"/>
      <c r="NAN37" s="704"/>
      <c r="NAO37" s="704"/>
      <c r="NAP37" s="704"/>
      <c r="NAQ37" s="704"/>
      <c r="NAR37" s="704"/>
      <c r="NAS37" s="704"/>
      <c r="NAT37" s="704"/>
      <c r="NAU37" s="704"/>
      <c r="NAV37" s="704"/>
      <c r="NAW37" s="704"/>
      <c r="NAX37" s="704"/>
      <c r="NAY37" s="704"/>
      <c r="NAZ37" s="704"/>
      <c r="NBA37" s="704"/>
      <c r="NBB37" s="704"/>
      <c r="NBC37" s="704"/>
      <c r="NBD37" s="704"/>
      <c r="NBE37" s="704"/>
      <c r="NBF37" s="704"/>
      <c r="NBG37" s="704"/>
      <c r="NBH37" s="704"/>
      <c r="NBI37" s="704"/>
      <c r="NBJ37" s="704"/>
      <c r="NBK37" s="704"/>
      <c r="NBL37" s="704"/>
      <c r="NBM37" s="704"/>
      <c r="NBN37" s="704"/>
      <c r="NBO37" s="704"/>
      <c r="NBP37" s="704"/>
      <c r="NBQ37" s="704"/>
      <c r="NBR37" s="704"/>
      <c r="NBS37" s="704"/>
      <c r="NBT37" s="704"/>
      <c r="NBU37" s="704"/>
      <c r="NBV37" s="704"/>
      <c r="NBW37" s="704"/>
      <c r="NBX37" s="704"/>
      <c r="NBY37" s="704"/>
      <c r="NBZ37" s="704"/>
      <c r="NCA37" s="704"/>
      <c r="NCB37" s="704"/>
      <c r="NCC37" s="704"/>
      <c r="NCD37" s="704"/>
      <c r="NCE37" s="704"/>
      <c r="NCF37" s="704"/>
      <c r="NCG37" s="704"/>
      <c r="NCH37" s="704"/>
      <c r="NCI37" s="704"/>
      <c r="NCJ37" s="704"/>
      <c r="NCK37" s="704"/>
      <c r="NCL37" s="704"/>
      <c r="NCM37" s="704"/>
      <c r="NCN37" s="704"/>
      <c r="NCO37" s="704"/>
      <c r="NCP37" s="704"/>
      <c r="NCQ37" s="704"/>
      <c r="NCR37" s="704"/>
      <c r="NCS37" s="704"/>
      <c r="NCT37" s="704"/>
      <c r="NCU37" s="704"/>
      <c r="NCV37" s="704"/>
      <c r="NCW37" s="704"/>
      <c r="NCX37" s="704"/>
      <c r="NCY37" s="704"/>
      <c r="NCZ37" s="704"/>
      <c r="NDA37" s="704"/>
      <c r="NDB37" s="704"/>
      <c r="NDC37" s="704"/>
      <c r="NDD37" s="704"/>
      <c r="NDE37" s="704"/>
      <c r="NDF37" s="704"/>
      <c r="NDG37" s="704"/>
      <c r="NDH37" s="704"/>
      <c r="NDI37" s="704"/>
      <c r="NDJ37" s="704"/>
      <c r="NDK37" s="704"/>
      <c r="NDL37" s="704"/>
      <c r="NDM37" s="704"/>
      <c r="NDN37" s="704"/>
      <c r="NDO37" s="704"/>
      <c r="NDP37" s="704"/>
      <c r="NDQ37" s="704"/>
      <c r="NDR37" s="704"/>
      <c r="NDS37" s="704"/>
      <c r="NDT37" s="704"/>
      <c r="NDU37" s="704"/>
      <c r="NDV37" s="704"/>
      <c r="NDW37" s="704"/>
      <c r="NDX37" s="704"/>
      <c r="NDY37" s="704"/>
      <c r="NDZ37" s="704"/>
      <c r="NEA37" s="704"/>
      <c r="NEB37" s="704"/>
      <c r="NEC37" s="704"/>
      <c r="NED37" s="704"/>
      <c r="NEE37" s="704"/>
      <c r="NEF37" s="704"/>
      <c r="NEG37" s="704"/>
      <c r="NEH37" s="704"/>
      <c r="NEI37" s="704"/>
      <c r="NEJ37" s="704"/>
      <c r="NEK37" s="704"/>
      <c r="NEL37" s="704"/>
      <c r="NEM37" s="704"/>
      <c r="NEN37" s="704"/>
      <c r="NEO37" s="704"/>
      <c r="NEP37" s="704"/>
      <c r="NEQ37" s="704"/>
      <c r="NER37" s="704"/>
      <c r="NES37" s="704"/>
      <c r="NET37" s="704"/>
      <c r="NEU37" s="704"/>
      <c r="NEV37" s="704"/>
      <c r="NEW37" s="704"/>
      <c r="NEX37" s="704"/>
      <c r="NEY37" s="704"/>
      <c r="NEZ37" s="704"/>
      <c r="NFA37" s="704"/>
      <c r="NFB37" s="704"/>
      <c r="NFC37" s="704"/>
      <c r="NFD37" s="704"/>
      <c r="NFE37" s="704"/>
      <c r="NFF37" s="704"/>
      <c r="NFG37" s="704"/>
      <c r="NFH37" s="704"/>
      <c r="NFI37" s="704"/>
      <c r="NFJ37" s="704"/>
      <c r="NFK37" s="704"/>
      <c r="NFL37" s="704"/>
      <c r="NFM37" s="704"/>
      <c r="NFN37" s="704"/>
      <c r="NFO37" s="704"/>
      <c r="NFP37" s="704"/>
      <c r="NFQ37" s="704"/>
      <c r="NFR37" s="704"/>
      <c r="NFS37" s="704"/>
      <c r="NFT37" s="704"/>
      <c r="NFU37" s="704"/>
      <c r="NFV37" s="704"/>
      <c r="NFW37" s="704"/>
      <c r="NFX37" s="704"/>
      <c r="NFY37" s="704"/>
      <c r="NFZ37" s="704"/>
      <c r="NGA37" s="704"/>
      <c r="NGB37" s="704"/>
      <c r="NGC37" s="704"/>
      <c r="NGD37" s="704"/>
      <c r="NGE37" s="704"/>
      <c r="NGF37" s="704"/>
      <c r="NGG37" s="704"/>
      <c r="NGH37" s="704"/>
      <c r="NGI37" s="704"/>
      <c r="NGJ37" s="704"/>
      <c r="NGK37" s="704"/>
      <c r="NGL37" s="704"/>
      <c r="NGM37" s="704"/>
      <c r="NGN37" s="704"/>
      <c r="NGO37" s="704"/>
      <c r="NGP37" s="704"/>
      <c r="NGQ37" s="704"/>
      <c r="NGR37" s="704"/>
      <c r="NGS37" s="704"/>
      <c r="NGT37" s="704"/>
      <c r="NGU37" s="704"/>
      <c r="NGV37" s="704"/>
      <c r="NGW37" s="704"/>
      <c r="NGX37" s="704"/>
      <c r="NGY37" s="704"/>
      <c r="NGZ37" s="704"/>
      <c r="NHA37" s="704"/>
      <c r="NHB37" s="704"/>
      <c r="NHC37" s="704"/>
      <c r="NHD37" s="704"/>
      <c r="NHE37" s="704"/>
      <c r="NHF37" s="704"/>
      <c r="NHG37" s="704"/>
      <c r="NHH37" s="704"/>
      <c r="NHI37" s="704"/>
      <c r="NHJ37" s="704"/>
      <c r="NHK37" s="704"/>
      <c r="NHL37" s="704"/>
      <c r="NHM37" s="704"/>
      <c r="NHN37" s="704"/>
      <c r="NHO37" s="704"/>
      <c r="NHP37" s="704"/>
      <c r="NHQ37" s="704"/>
      <c r="NHR37" s="704"/>
      <c r="NHS37" s="704"/>
      <c r="NHT37" s="704"/>
      <c r="NHU37" s="704"/>
      <c r="NHV37" s="704"/>
      <c r="NHW37" s="704"/>
      <c r="NHX37" s="704"/>
      <c r="NHY37" s="704"/>
      <c r="NHZ37" s="704"/>
      <c r="NIA37" s="704"/>
      <c r="NIB37" s="704"/>
      <c r="NIC37" s="704"/>
      <c r="NID37" s="704"/>
      <c r="NIE37" s="704"/>
      <c r="NIF37" s="704"/>
      <c r="NIG37" s="704"/>
      <c r="NIH37" s="704"/>
      <c r="NII37" s="704"/>
      <c r="NIJ37" s="704"/>
      <c r="NIK37" s="704"/>
      <c r="NIL37" s="704"/>
      <c r="NIM37" s="704"/>
      <c r="NIN37" s="704"/>
      <c r="NIO37" s="704"/>
      <c r="NIP37" s="704"/>
      <c r="NIQ37" s="704"/>
      <c r="NIR37" s="704"/>
      <c r="NIS37" s="704"/>
      <c r="NIT37" s="704"/>
      <c r="NIU37" s="704"/>
      <c r="NIV37" s="704"/>
      <c r="NIW37" s="704"/>
      <c r="NIX37" s="704"/>
      <c r="NIY37" s="704"/>
      <c r="NIZ37" s="704"/>
      <c r="NJA37" s="704"/>
      <c r="NJB37" s="704"/>
      <c r="NJC37" s="704"/>
      <c r="NJD37" s="704"/>
      <c r="NJE37" s="704"/>
      <c r="NJF37" s="704"/>
      <c r="NJG37" s="704"/>
      <c r="NJH37" s="704"/>
      <c r="NJI37" s="704"/>
      <c r="NJJ37" s="704"/>
      <c r="NJK37" s="704"/>
      <c r="NJL37" s="704"/>
      <c r="NJM37" s="704"/>
      <c r="NJN37" s="704"/>
      <c r="NJO37" s="704"/>
      <c r="NJP37" s="704"/>
      <c r="NJQ37" s="704"/>
      <c r="NJR37" s="704"/>
      <c r="NJS37" s="704"/>
      <c r="NJT37" s="704"/>
      <c r="NJU37" s="704"/>
      <c r="NJV37" s="704"/>
      <c r="NJW37" s="704"/>
      <c r="NJX37" s="704"/>
      <c r="NJY37" s="704"/>
      <c r="NJZ37" s="704"/>
      <c r="NKA37" s="704"/>
      <c r="NKB37" s="704"/>
      <c r="NKC37" s="704"/>
      <c r="NKD37" s="704"/>
      <c r="NKE37" s="704"/>
      <c r="NKF37" s="704"/>
      <c r="NKG37" s="704"/>
      <c r="NKH37" s="704"/>
      <c r="NKI37" s="704"/>
      <c r="NKJ37" s="704"/>
      <c r="NKK37" s="704"/>
      <c r="NKL37" s="704"/>
      <c r="NKM37" s="704"/>
      <c r="NKN37" s="704"/>
      <c r="NKO37" s="704"/>
      <c r="NKP37" s="704"/>
      <c r="NKQ37" s="704"/>
      <c r="NKR37" s="704"/>
      <c r="NKS37" s="704"/>
      <c r="NKT37" s="704"/>
      <c r="NKU37" s="704"/>
      <c r="NKV37" s="704"/>
      <c r="NKW37" s="704"/>
      <c r="NKX37" s="704"/>
      <c r="NKY37" s="704"/>
      <c r="NKZ37" s="704"/>
      <c r="NLA37" s="704"/>
      <c r="NLB37" s="704"/>
      <c r="NLC37" s="704"/>
      <c r="NLD37" s="704"/>
      <c r="NLE37" s="704"/>
      <c r="NLF37" s="704"/>
      <c r="NLG37" s="704"/>
      <c r="NLH37" s="704"/>
      <c r="NLI37" s="704"/>
      <c r="NLJ37" s="704"/>
      <c r="NLK37" s="704"/>
      <c r="NLL37" s="704"/>
      <c r="NLM37" s="704"/>
      <c r="NLN37" s="704"/>
      <c r="NLO37" s="704"/>
      <c r="NLP37" s="704"/>
      <c r="NLQ37" s="704"/>
      <c r="NLR37" s="704"/>
      <c r="NLS37" s="704"/>
      <c r="NLT37" s="704"/>
      <c r="NLU37" s="704"/>
      <c r="NLV37" s="704"/>
      <c r="NLW37" s="704"/>
      <c r="NLX37" s="704"/>
      <c r="NLY37" s="704"/>
      <c r="NLZ37" s="704"/>
      <c r="NMA37" s="704"/>
      <c r="NMB37" s="704"/>
      <c r="NMC37" s="704"/>
      <c r="NMD37" s="704"/>
      <c r="NME37" s="704"/>
      <c r="NMF37" s="704"/>
      <c r="NMG37" s="704"/>
      <c r="NMH37" s="704"/>
      <c r="NMI37" s="704"/>
      <c r="NMJ37" s="704"/>
      <c r="NMK37" s="704"/>
      <c r="NML37" s="704"/>
      <c r="NMM37" s="704"/>
      <c r="NMN37" s="704"/>
      <c r="NMO37" s="704"/>
      <c r="NMP37" s="704"/>
      <c r="NMQ37" s="704"/>
      <c r="NMR37" s="704"/>
      <c r="NMS37" s="704"/>
      <c r="NMT37" s="704"/>
      <c r="NMU37" s="704"/>
      <c r="NMV37" s="704"/>
      <c r="NMW37" s="704"/>
      <c r="NMX37" s="704"/>
      <c r="NMY37" s="704"/>
      <c r="NMZ37" s="704"/>
      <c r="NNA37" s="704"/>
      <c r="NNB37" s="704"/>
      <c r="NNC37" s="704"/>
      <c r="NND37" s="704"/>
      <c r="NNE37" s="704"/>
      <c r="NNF37" s="704"/>
      <c r="NNG37" s="704"/>
      <c r="NNH37" s="704"/>
      <c r="NNI37" s="704"/>
      <c r="NNJ37" s="704"/>
      <c r="NNK37" s="704"/>
      <c r="NNL37" s="704"/>
      <c r="NNM37" s="704"/>
      <c r="NNN37" s="704"/>
      <c r="NNO37" s="704"/>
      <c r="NNP37" s="704"/>
      <c r="NNQ37" s="704"/>
      <c r="NNR37" s="704"/>
      <c r="NNS37" s="704"/>
      <c r="NNT37" s="704"/>
      <c r="NNU37" s="704"/>
      <c r="NNV37" s="704"/>
      <c r="NNW37" s="704"/>
      <c r="NNX37" s="704"/>
      <c r="NNY37" s="704"/>
      <c r="NNZ37" s="704"/>
      <c r="NOA37" s="704"/>
      <c r="NOB37" s="704"/>
      <c r="NOC37" s="704"/>
      <c r="NOD37" s="704"/>
      <c r="NOE37" s="704"/>
      <c r="NOF37" s="704"/>
      <c r="NOG37" s="704"/>
      <c r="NOH37" s="704"/>
      <c r="NOI37" s="704"/>
      <c r="NOJ37" s="704"/>
      <c r="NOK37" s="704"/>
      <c r="NOL37" s="704"/>
      <c r="NOM37" s="704"/>
      <c r="NON37" s="704"/>
      <c r="NOO37" s="704"/>
      <c r="NOP37" s="704"/>
      <c r="NOQ37" s="704"/>
      <c r="NOR37" s="704"/>
      <c r="NOS37" s="704"/>
      <c r="NOT37" s="704"/>
      <c r="NOU37" s="704"/>
      <c r="NOV37" s="704"/>
      <c r="NOW37" s="704"/>
      <c r="NOX37" s="704"/>
      <c r="NOY37" s="704"/>
      <c r="NOZ37" s="704"/>
      <c r="NPA37" s="704"/>
      <c r="NPB37" s="704"/>
      <c r="NPC37" s="704"/>
      <c r="NPD37" s="704"/>
      <c r="NPE37" s="704"/>
      <c r="NPF37" s="704"/>
      <c r="NPG37" s="704"/>
      <c r="NPH37" s="704"/>
      <c r="NPI37" s="704"/>
      <c r="NPJ37" s="704"/>
      <c r="NPK37" s="704"/>
      <c r="NPL37" s="704"/>
      <c r="NPM37" s="704"/>
      <c r="NPN37" s="704"/>
      <c r="NPO37" s="704"/>
      <c r="NPP37" s="704"/>
      <c r="NPQ37" s="704"/>
      <c r="NPR37" s="704"/>
      <c r="NPS37" s="704"/>
      <c r="NPT37" s="704"/>
      <c r="NPU37" s="704"/>
      <c r="NPV37" s="704"/>
      <c r="NPW37" s="704"/>
      <c r="NPX37" s="704"/>
      <c r="NPY37" s="704"/>
      <c r="NPZ37" s="704"/>
      <c r="NQA37" s="704"/>
      <c r="NQB37" s="704"/>
      <c r="NQC37" s="704"/>
      <c r="NQD37" s="704"/>
      <c r="NQE37" s="704"/>
      <c r="NQF37" s="704"/>
      <c r="NQG37" s="704"/>
      <c r="NQH37" s="704"/>
      <c r="NQI37" s="704"/>
      <c r="NQJ37" s="704"/>
      <c r="NQK37" s="704"/>
      <c r="NQL37" s="704"/>
      <c r="NQM37" s="704"/>
      <c r="NQN37" s="704"/>
      <c r="NQO37" s="704"/>
      <c r="NQP37" s="704"/>
      <c r="NQQ37" s="704"/>
      <c r="NQR37" s="704"/>
      <c r="NQS37" s="704"/>
      <c r="NQT37" s="704"/>
      <c r="NQU37" s="704"/>
      <c r="NQV37" s="704"/>
      <c r="NQW37" s="704"/>
      <c r="NQX37" s="704"/>
      <c r="NQY37" s="704"/>
      <c r="NQZ37" s="704"/>
      <c r="NRA37" s="704"/>
      <c r="NRB37" s="704"/>
      <c r="NRC37" s="704"/>
      <c r="NRD37" s="704"/>
      <c r="NRE37" s="704"/>
      <c r="NRF37" s="704"/>
      <c r="NRG37" s="704"/>
      <c r="NRH37" s="704"/>
      <c r="NRI37" s="704"/>
      <c r="NRJ37" s="704"/>
      <c r="NRK37" s="704"/>
      <c r="NRL37" s="704"/>
      <c r="NRM37" s="704"/>
      <c r="NRN37" s="704"/>
      <c r="NRO37" s="704"/>
      <c r="NRP37" s="704"/>
      <c r="NRQ37" s="704"/>
      <c r="NRR37" s="704"/>
      <c r="NRS37" s="704"/>
      <c r="NRT37" s="704"/>
      <c r="NRU37" s="704"/>
      <c r="NRV37" s="704"/>
      <c r="NRW37" s="704"/>
      <c r="NRX37" s="704"/>
      <c r="NRY37" s="704"/>
      <c r="NRZ37" s="704"/>
      <c r="NSA37" s="704"/>
      <c r="NSB37" s="704"/>
      <c r="NSC37" s="704"/>
      <c r="NSD37" s="704"/>
      <c r="NSE37" s="704"/>
      <c r="NSF37" s="704"/>
      <c r="NSG37" s="704"/>
      <c r="NSH37" s="704"/>
      <c r="NSI37" s="704"/>
      <c r="NSJ37" s="704"/>
      <c r="NSK37" s="704"/>
      <c r="NSL37" s="704"/>
      <c r="NSM37" s="704"/>
      <c r="NSN37" s="704"/>
      <c r="NSO37" s="704"/>
      <c r="NSP37" s="704"/>
      <c r="NSQ37" s="704"/>
      <c r="NSR37" s="704"/>
      <c r="NSS37" s="704"/>
      <c r="NST37" s="704"/>
      <c r="NSU37" s="704"/>
      <c r="NSV37" s="704"/>
      <c r="NSW37" s="704"/>
      <c r="NSX37" s="704"/>
      <c r="NSY37" s="704"/>
      <c r="NSZ37" s="704"/>
      <c r="NTA37" s="704"/>
      <c r="NTB37" s="704"/>
      <c r="NTC37" s="704"/>
      <c r="NTD37" s="704"/>
      <c r="NTE37" s="704"/>
      <c r="NTF37" s="704"/>
      <c r="NTG37" s="704"/>
      <c r="NTH37" s="704"/>
      <c r="NTI37" s="704"/>
      <c r="NTJ37" s="704"/>
      <c r="NTK37" s="704"/>
      <c r="NTL37" s="704"/>
      <c r="NTM37" s="704"/>
      <c r="NTN37" s="704"/>
      <c r="NTO37" s="704"/>
      <c r="NTP37" s="704"/>
      <c r="NTQ37" s="704"/>
      <c r="NTR37" s="704"/>
      <c r="NTS37" s="704"/>
      <c r="NTT37" s="704"/>
      <c r="NTU37" s="704"/>
      <c r="NTV37" s="704"/>
      <c r="NTW37" s="704"/>
      <c r="NTX37" s="704"/>
      <c r="NTY37" s="704"/>
      <c r="NTZ37" s="704"/>
      <c r="NUA37" s="704"/>
      <c r="NUB37" s="704"/>
      <c r="NUC37" s="704"/>
      <c r="NUD37" s="704"/>
      <c r="NUE37" s="704"/>
      <c r="NUF37" s="704"/>
      <c r="NUG37" s="704"/>
      <c r="NUH37" s="704"/>
      <c r="NUI37" s="704"/>
      <c r="NUJ37" s="704"/>
      <c r="NUK37" s="704"/>
      <c r="NUL37" s="704"/>
      <c r="NUM37" s="704"/>
      <c r="NUN37" s="704"/>
      <c r="NUO37" s="704"/>
      <c r="NUP37" s="704"/>
      <c r="NUQ37" s="704"/>
      <c r="NUR37" s="704"/>
      <c r="NUS37" s="704"/>
      <c r="NUT37" s="704"/>
      <c r="NUU37" s="704"/>
      <c r="NUV37" s="704"/>
      <c r="NUW37" s="704"/>
      <c r="NUX37" s="704"/>
      <c r="NUY37" s="704"/>
      <c r="NUZ37" s="704"/>
      <c r="NVA37" s="704"/>
      <c r="NVB37" s="704"/>
      <c r="NVC37" s="704"/>
      <c r="NVD37" s="704"/>
      <c r="NVE37" s="704"/>
      <c r="NVF37" s="704"/>
      <c r="NVG37" s="704"/>
      <c r="NVH37" s="704"/>
      <c r="NVI37" s="704"/>
      <c r="NVJ37" s="704"/>
      <c r="NVK37" s="704"/>
      <c r="NVL37" s="704"/>
      <c r="NVM37" s="704"/>
      <c r="NVN37" s="704"/>
      <c r="NVO37" s="704"/>
      <c r="NVP37" s="704"/>
      <c r="NVQ37" s="704"/>
      <c r="NVR37" s="704"/>
      <c r="NVS37" s="704"/>
      <c r="NVT37" s="704"/>
      <c r="NVU37" s="704"/>
      <c r="NVV37" s="704"/>
      <c r="NVW37" s="704"/>
      <c r="NVX37" s="704"/>
      <c r="NVY37" s="704"/>
      <c r="NVZ37" s="704"/>
      <c r="NWA37" s="704"/>
      <c r="NWB37" s="704"/>
      <c r="NWC37" s="704"/>
      <c r="NWD37" s="704"/>
      <c r="NWE37" s="704"/>
      <c r="NWF37" s="704"/>
      <c r="NWG37" s="704"/>
      <c r="NWH37" s="704"/>
      <c r="NWI37" s="704"/>
      <c r="NWJ37" s="704"/>
      <c r="NWK37" s="704"/>
      <c r="NWL37" s="704"/>
      <c r="NWM37" s="704"/>
      <c r="NWN37" s="704"/>
      <c r="NWO37" s="704"/>
      <c r="NWP37" s="704"/>
      <c r="NWQ37" s="704"/>
      <c r="NWR37" s="704"/>
      <c r="NWS37" s="704"/>
      <c r="NWT37" s="704"/>
      <c r="NWU37" s="704"/>
      <c r="NWV37" s="704"/>
      <c r="NWW37" s="704"/>
      <c r="NWX37" s="704"/>
      <c r="NWY37" s="704"/>
      <c r="NWZ37" s="704"/>
      <c r="NXA37" s="704"/>
      <c r="NXB37" s="704"/>
      <c r="NXC37" s="704"/>
      <c r="NXD37" s="704"/>
      <c r="NXE37" s="704"/>
      <c r="NXF37" s="704"/>
      <c r="NXG37" s="704"/>
      <c r="NXH37" s="704"/>
      <c r="NXI37" s="704"/>
      <c r="NXJ37" s="704"/>
      <c r="NXK37" s="704"/>
      <c r="NXL37" s="704"/>
      <c r="NXM37" s="704"/>
      <c r="NXN37" s="704"/>
      <c r="NXO37" s="704"/>
      <c r="NXP37" s="704"/>
      <c r="NXQ37" s="704"/>
      <c r="NXR37" s="704"/>
      <c r="NXS37" s="704"/>
      <c r="NXT37" s="704"/>
      <c r="NXU37" s="704"/>
      <c r="NXV37" s="704"/>
      <c r="NXW37" s="704"/>
      <c r="NXX37" s="704"/>
      <c r="NXY37" s="704"/>
      <c r="NXZ37" s="704"/>
      <c r="NYA37" s="704"/>
      <c r="NYB37" s="704"/>
      <c r="NYC37" s="704"/>
      <c r="NYD37" s="704"/>
      <c r="NYE37" s="704"/>
      <c r="NYF37" s="704"/>
      <c r="NYG37" s="704"/>
      <c r="NYH37" s="704"/>
      <c r="NYI37" s="704"/>
      <c r="NYJ37" s="704"/>
      <c r="NYK37" s="704"/>
      <c r="NYL37" s="704"/>
      <c r="NYM37" s="704"/>
      <c r="NYN37" s="704"/>
      <c r="NYO37" s="704"/>
      <c r="NYP37" s="704"/>
      <c r="NYQ37" s="704"/>
      <c r="NYR37" s="704"/>
      <c r="NYS37" s="704"/>
      <c r="NYT37" s="704"/>
      <c r="NYU37" s="704"/>
      <c r="NYV37" s="704"/>
      <c r="NYW37" s="704"/>
      <c r="NYX37" s="704"/>
      <c r="NYY37" s="704"/>
      <c r="NYZ37" s="704"/>
      <c r="NZA37" s="704"/>
      <c r="NZB37" s="704"/>
      <c r="NZC37" s="704"/>
      <c r="NZD37" s="704"/>
      <c r="NZE37" s="704"/>
      <c r="NZF37" s="704"/>
      <c r="NZG37" s="704"/>
      <c r="NZH37" s="704"/>
      <c r="NZI37" s="704"/>
      <c r="NZJ37" s="704"/>
      <c r="NZK37" s="704"/>
      <c r="NZL37" s="704"/>
      <c r="NZM37" s="704"/>
      <c r="NZN37" s="704"/>
      <c r="NZO37" s="704"/>
      <c r="NZP37" s="704"/>
      <c r="NZQ37" s="704"/>
      <c r="NZR37" s="704"/>
      <c r="NZS37" s="704"/>
      <c r="NZT37" s="704"/>
      <c r="NZU37" s="704"/>
      <c r="NZV37" s="704"/>
      <c r="NZW37" s="704"/>
      <c r="NZX37" s="704"/>
      <c r="NZY37" s="704"/>
      <c r="NZZ37" s="704"/>
      <c r="OAA37" s="704"/>
      <c r="OAB37" s="704"/>
      <c r="OAC37" s="704"/>
      <c r="OAD37" s="704"/>
      <c r="OAE37" s="704"/>
      <c r="OAF37" s="704"/>
      <c r="OAG37" s="704"/>
      <c r="OAH37" s="704"/>
      <c r="OAI37" s="704"/>
      <c r="OAJ37" s="704"/>
      <c r="OAK37" s="704"/>
      <c r="OAL37" s="704"/>
      <c r="OAM37" s="704"/>
      <c r="OAN37" s="704"/>
      <c r="OAO37" s="704"/>
      <c r="OAP37" s="704"/>
      <c r="OAQ37" s="704"/>
      <c r="OAR37" s="704"/>
      <c r="OAS37" s="704"/>
      <c r="OAT37" s="704"/>
      <c r="OAU37" s="704"/>
      <c r="OAV37" s="704"/>
      <c r="OAW37" s="704"/>
      <c r="OAX37" s="704"/>
      <c r="OAY37" s="704"/>
      <c r="OAZ37" s="704"/>
      <c r="OBA37" s="704"/>
      <c r="OBB37" s="704"/>
      <c r="OBC37" s="704"/>
      <c r="OBD37" s="704"/>
      <c r="OBE37" s="704"/>
      <c r="OBF37" s="704"/>
      <c r="OBG37" s="704"/>
      <c r="OBH37" s="704"/>
      <c r="OBI37" s="704"/>
      <c r="OBJ37" s="704"/>
      <c r="OBK37" s="704"/>
      <c r="OBL37" s="704"/>
      <c r="OBM37" s="704"/>
      <c r="OBN37" s="704"/>
      <c r="OBO37" s="704"/>
      <c r="OBP37" s="704"/>
      <c r="OBQ37" s="704"/>
      <c r="OBR37" s="704"/>
      <c r="OBS37" s="704"/>
      <c r="OBT37" s="704"/>
      <c r="OBU37" s="704"/>
      <c r="OBV37" s="704"/>
      <c r="OBW37" s="704"/>
      <c r="OBX37" s="704"/>
      <c r="OBY37" s="704"/>
      <c r="OBZ37" s="704"/>
      <c r="OCA37" s="704"/>
      <c r="OCB37" s="704"/>
      <c r="OCC37" s="704"/>
      <c r="OCD37" s="704"/>
      <c r="OCE37" s="704"/>
      <c r="OCF37" s="704"/>
      <c r="OCG37" s="704"/>
      <c r="OCH37" s="704"/>
      <c r="OCI37" s="704"/>
      <c r="OCJ37" s="704"/>
      <c r="OCK37" s="704"/>
      <c r="OCL37" s="704"/>
      <c r="OCM37" s="704"/>
      <c r="OCN37" s="704"/>
      <c r="OCO37" s="704"/>
      <c r="OCP37" s="704"/>
      <c r="OCQ37" s="704"/>
      <c r="OCR37" s="704"/>
      <c r="OCS37" s="704"/>
      <c r="OCT37" s="704"/>
      <c r="OCU37" s="704"/>
      <c r="OCV37" s="704"/>
      <c r="OCW37" s="704"/>
      <c r="OCX37" s="704"/>
      <c r="OCY37" s="704"/>
      <c r="OCZ37" s="704"/>
      <c r="ODA37" s="704"/>
      <c r="ODB37" s="704"/>
      <c r="ODC37" s="704"/>
      <c r="ODD37" s="704"/>
      <c r="ODE37" s="704"/>
      <c r="ODF37" s="704"/>
      <c r="ODG37" s="704"/>
      <c r="ODH37" s="704"/>
      <c r="ODI37" s="704"/>
      <c r="ODJ37" s="704"/>
      <c r="ODK37" s="704"/>
      <c r="ODL37" s="704"/>
      <c r="ODM37" s="704"/>
      <c r="ODN37" s="704"/>
      <c r="ODO37" s="704"/>
      <c r="ODP37" s="704"/>
      <c r="ODQ37" s="704"/>
      <c r="ODR37" s="704"/>
      <c r="ODS37" s="704"/>
      <c r="ODT37" s="704"/>
      <c r="ODU37" s="704"/>
      <c r="ODV37" s="704"/>
      <c r="ODW37" s="704"/>
      <c r="ODX37" s="704"/>
      <c r="ODY37" s="704"/>
      <c r="ODZ37" s="704"/>
      <c r="OEA37" s="704"/>
      <c r="OEB37" s="704"/>
      <c r="OEC37" s="704"/>
      <c r="OED37" s="704"/>
      <c r="OEE37" s="704"/>
      <c r="OEF37" s="704"/>
      <c r="OEG37" s="704"/>
      <c r="OEH37" s="704"/>
      <c r="OEI37" s="704"/>
      <c r="OEJ37" s="704"/>
      <c r="OEK37" s="704"/>
      <c r="OEL37" s="704"/>
      <c r="OEM37" s="704"/>
      <c r="OEN37" s="704"/>
      <c r="OEO37" s="704"/>
      <c r="OEP37" s="704"/>
      <c r="OEQ37" s="704"/>
      <c r="OER37" s="704"/>
      <c r="OES37" s="704"/>
      <c r="OET37" s="704"/>
      <c r="OEU37" s="704"/>
      <c r="OEV37" s="704"/>
      <c r="OEW37" s="704"/>
      <c r="OEX37" s="704"/>
      <c r="OEY37" s="704"/>
      <c r="OEZ37" s="704"/>
      <c r="OFA37" s="704"/>
      <c r="OFB37" s="704"/>
      <c r="OFC37" s="704"/>
      <c r="OFD37" s="704"/>
      <c r="OFE37" s="704"/>
      <c r="OFF37" s="704"/>
      <c r="OFG37" s="704"/>
      <c r="OFH37" s="704"/>
      <c r="OFI37" s="704"/>
      <c r="OFJ37" s="704"/>
      <c r="OFK37" s="704"/>
      <c r="OFL37" s="704"/>
      <c r="OFM37" s="704"/>
      <c r="OFN37" s="704"/>
      <c r="OFO37" s="704"/>
      <c r="OFP37" s="704"/>
      <c r="OFQ37" s="704"/>
      <c r="OFR37" s="704"/>
      <c r="OFS37" s="704"/>
      <c r="OFT37" s="704"/>
      <c r="OFU37" s="704"/>
      <c r="OFV37" s="704"/>
      <c r="OFW37" s="704"/>
      <c r="OFX37" s="704"/>
      <c r="OFY37" s="704"/>
      <c r="OFZ37" s="704"/>
      <c r="OGA37" s="704"/>
      <c r="OGB37" s="704"/>
      <c r="OGC37" s="704"/>
      <c r="OGD37" s="704"/>
      <c r="OGE37" s="704"/>
      <c r="OGF37" s="704"/>
      <c r="OGG37" s="704"/>
      <c r="OGH37" s="704"/>
      <c r="OGI37" s="704"/>
      <c r="OGJ37" s="704"/>
      <c r="OGK37" s="704"/>
      <c r="OGL37" s="704"/>
      <c r="OGM37" s="704"/>
      <c r="OGN37" s="704"/>
      <c r="OGO37" s="704"/>
      <c r="OGP37" s="704"/>
      <c r="OGQ37" s="704"/>
      <c r="OGR37" s="704"/>
      <c r="OGS37" s="704"/>
      <c r="OGT37" s="704"/>
      <c r="OGU37" s="704"/>
      <c r="OGV37" s="704"/>
      <c r="OGW37" s="704"/>
      <c r="OGX37" s="704"/>
      <c r="OGY37" s="704"/>
      <c r="OGZ37" s="704"/>
      <c r="OHA37" s="704"/>
      <c r="OHB37" s="704"/>
      <c r="OHC37" s="704"/>
      <c r="OHD37" s="704"/>
      <c r="OHE37" s="704"/>
      <c r="OHF37" s="704"/>
      <c r="OHG37" s="704"/>
      <c r="OHH37" s="704"/>
      <c r="OHI37" s="704"/>
      <c r="OHJ37" s="704"/>
      <c r="OHK37" s="704"/>
      <c r="OHL37" s="704"/>
      <c r="OHM37" s="704"/>
      <c r="OHN37" s="704"/>
      <c r="OHO37" s="704"/>
      <c r="OHP37" s="704"/>
      <c r="OHQ37" s="704"/>
      <c r="OHR37" s="704"/>
      <c r="OHS37" s="704"/>
      <c r="OHT37" s="704"/>
      <c r="OHU37" s="704"/>
      <c r="OHV37" s="704"/>
      <c r="OHW37" s="704"/>
      <c r="OHX37" s="704"/>
      <c r="OHY37" s="704"/>
      <c r="OHZ37" s="704"/>
      <c r="OIA37" s="704"/>
      <c r="OIB37" s="704"/>
      <c r="OIC37" s="704"/>
      <c r="OID37" s="704"/>
      <c r="OIE37" s="704"/>
      <c r="OIF37" s="704"/>
      <c r="OIG37" s="704"/>
      <c r="OIH37" s="704"/>
      <c r="OII37" s="704"/>
      <c r="OIJ37" s="704"/>
      <c r="OIK37" s="704"/>
      <c r="OIL37" s="704"/>
      <c r="OIM37" s="704"/>
      <c r="OIN37" s="704"/>
      <c r="OIO37" s="704"/>
      <c r="OIP37" s="704"/>
      <c r="OIQ37" s="704"/>
      <c r="OIR37" s="704"/>
      <c r="OIS37" s="704"/>
      <c r="OIT37" s="704"/>
      <c r="OIU37" s="704"/>
      <c r="OIV37" s="704"/>
      <c r="OIW37" s="704"/>
      <c r="OIX37" s="704"/>
      <c r="OIY37" s="704"/>
      <c r="OIZ37" s="704"/>
      <c r="OJA37" s="704"/>
      <c r="OJB37" s="704"/>
      <c r="OJC37" s="704"/>
      <c r="OJD37" s="704"/>
      <c r="OJE37" s="704"/>
      <c r="OJF37" s="704"/>
      <c r="OJG37" s="704"/>
      <c r="OJH37" s="704"/>
      <c r="OJI37" s="704"/>
      <c r="OJJ37" s="704"/>
      <c r="OJK37" s="704"/>
      <c r="OJL37" s="704"/>
      <c r="OJM37" s="704"/>
      <c r="OJN37" s="704"/>
      <c r="OJO37" s="704"/>
      <c r="OJP37" s="704"/>
      <c r="OJQ37" s="704"/>
      <c r="OJR37" s="704"/>
      <c r="OJS37" s="704"/>
      <c r="OJT37" s="704"/>
      <c r="OJU37" s="704"/>
      <c r="OJV37" s="704"/>
      <c r="OJW37" s="704"/>
      <c r="OJX37" s="704"/>
      <c r="OJY37" s="704"/>
      <c r="OJZ37" s="704"/>
      <c r="OKA37" s="704"/>
      <c r="OKB37" s="704"/>
      <c r="OKC37" s="704"/>
      <c r="OKD37" s="704"/>
      <c r="OKE37" s="704"/>
      <c r="OKF37" s="704"/>
      <c r="OKG37" s="704"/>
      <c r="OKH37" s="704"/>
      <c r="OKI37" s="704"/>
      <c r="OKJ37" s="704"/>
      <c r="OKK37" s="704"/>
      <c r="OKL37" s="704"/>
      <c r="OKM37" s="704"/>
      <c r="OKN37" s="704"/>
      <c r="OKO37" s="704"/>
      <c r="OKP37" s="704"/>
      <c r="OKQ37" s="704"/>
      <c r="OKR37" s="704"/>
      <c r="OKS37" s="704"/>
      <c r="OKT37" s="704"/>
      <c r="OKU37" s="704"/>
      <c r="OKV37" s="704"/>
      <c r="OKW37" s="704"/>
      <c r="OKX37" s="704"/>
      <c r="OKY37" s="704"/>
      <c r="OKZ37" s="704"/>
      <c r="OLA37" s="704"/>
      <c r="OLB37" s="704"/>
      <c r="OLC37" s="704"/>
      <c r="OLD37" s="704"/>
      <c r="OLE37" s="704"/>
      <c r="OLF37" s="704"/>
      <c r="OLG37" s="704"/>
      <c r="OLH37" s="704"/>
      <c r="OLI37" s="704"/>
      <c r="OLJ37" s="704"/>
      <c r="OLK37" s="704"/>
      <c r="OLL37" s="704"/>
      <c r="OLM37" s="704"/>
      <c r="OLN37" s="704"/>
      <c r="OLO37" s="704"/>
      <c r="OLP37" s="704"/>
      <c r="OLQ37" s="704"/>
      <c r="OLR37" s="704"/>
      <c r="OLS37" s="704"/>
      <c r="OLT37" s="704"/>
      <c r="OLU37" s="704"/>
      <c r="OLV37" s="704"/>
      <c r="OLW37" s="704"/>
      <c r="OLX37" s="704"/>
      <c r="OLY37" s="704"/>
      <c r="OLZ37" s="704"/>
      <c r="OMA37" s="704"/>
      <c r="OMB37" s="704"/>
      <c r="OMC37" s="704"/>
      <c r="OMD37" s="704"/>
      <c r="OME37" s="704"/>
      <c r="OMF37" s="704"/>
      <c r="OMG37" s="704"/>
      <c r="OMH37" s="704"/>
      <c r="OMI37" s="704"/>
      <c r="OMJ37" s="704"/>
      <c r="OMK37" s="704"/>
      <c r="OML37" s="704"/>
      <c r="OMM37" s="704"/>
      <c r="OMN37" s="704"/>
      <c r="OMO37" s="704"/>
      <c r="OMP37" s="704"/>
      <c r="OMQ37" s="704"/>
      <c r="OMR37" s="704"/>
      <c r="OMS37" s="704"/>
      <c r="OMT37" s="704"/>
      <c r="OMU37" s="704"/>
      <c r="OMV37" s="704"/>
      <c r="OMW37" s="704"/>
      <c r="OMX37" s="704"/>
      <c r="OMY37" s="704"/>
      <c r="OMZ37" s="704"/>
      <c r="ONA37" s="704"/>
      <c r="ONB37" s="704"/>
      <c r="ONC37" s="704"/>
      <c r="OND37" s="704"/>
      <c r="ONE37" s="704"/>
      <c r="ONF37" s="704"/>
      <c r="ONG37" s="704"/>
      <c r="ONH37" s="704"/>
      <c r="ONI37" s="704"/>
      <c r="ONJ37" s="704"/>
      <c r="ONK37" s="704"/>
      <c r="ONL37" s="704"/>
      <c r="ONM37" s="704"/>
      <c r="ONN37" s="704"/>
      <c r="ONO37" s="704"/>
      <c r="ONP37" s="704"/>
      <c r="ONQ37" s="704"/>
      <c r="ONR37" s="704"/>
      <c r="ONS37" s="704"/>
      <c r="ONT37" s="704"/>
      <c r="ONU37" s="704"/>
      <c r="ONV37" s="704"/>
      <c r="ONW37" s="704"/>
      <c r="ONX37" s="704"/>
      <c r="ONY37" s="704"/>
      <c r="ONZ37" s="704"/>
      <c r="OOA37" s="704"/>
      <c r="OOB37" s="704"/>
      <c r="OOC37" s="704"/>
      <c r="OOD37" s="704"/>
      <c r="OOE37" s="704"/>
      <c r="OOF37" s="704"/>
      <c r="OOG37" s="704"/>
      <c r="OOH37" s="704"/>
      <c r="OOI37" s="704"/>
      <c r="OOJ37" s="704"/>
      <c r="OOK37" s="704"/>
      <c r="OOL37" s="704"/>
      <c r="OOM37" s="704"/>
      <c r="OON37" s="704"/>
      <c r="OOO37" s="704"/>
      <c r="OOP37" s="704"/>
      <c r="OOQ37" s="704"/>
      <c r="OOR37" s="704"/>
      <c r="OOS37" s="704"/>
      <c r="OOT37" s="704"/>
      <c r="OOU37" s="704"/>
      <c r="OOV37" s="704"/>
      <c r="OOW37" s="704"/>
      <c r="OOX37" s="704"/>
      <c r="OOY37" s="704"/>
      <c r="OOZ37" s="704"/>
      <c r="OPA37" s="704"/>
      <c r="OPB37" s="704"/>
      <c r="OPC37" s="704"/>
      <c r="OPD37" s="704"/>
      <c r="OPE37" s="704"/>
      <c r="OPF37" s="704"/>
      <c r="OPG37" s="704"/>
      <c r="OPH37" s="704"/>
      <c r="OPI37" s="704"/>
      <c r="OPJ37" s="704"/>
      <c r="OPK37" s="704"/>
      <c r="OPL37" s="704"/>
      <c r="OPM37" s="704"/>
      <c r="OPN37" s="704"/>
      <c r="OPO37" s="704"/>
      <c r="OPP37" s="704"/>
      <c r="OPQ37" s="704"/>
      <c r="OPR37" s="704"/>
      <c r="OPS37" s="704"/>
      <c r="OPT37" s="704"/>
      <c r="OPU37" s="704"/>
      <c r="OPV37" s="704"/>
      <c r="OPW37" s="704"/>
      <c r="OPX37" s="704"/>
      <c r="OPY37" s="704"/>
      <c r="OPZ37" s="704"/>
      <c r="OQA37" s="704"/>
      <c r="OQB37" s="704"/>
      <c r="OQC37" s="704"/>
      <c r="OQD37" s="704"/>
      <c r="OQE37" s="704"/>
      <c r="OQF37" s="704"/>
      <c r="OQG37" s="704"/>
      <c r="OQH37" s="704"/>
      <c r="OQI37" s="704"/>
      <c r="OQJ37" s="704"/>
      <c r="OQK37" s="704"/>
      <c r="OQL37" s="704"/>
      <c r="OQM37" s="704"/>
      <c r="OQN37" s="704"/>
      <c r="OQO37" s="704"/>
      <c r="OQP37" s="704"/>
      <c r="OQQ37" s="704"/>
      <c r="OQR37" s="704"/>
      <c r="OQS37" s="704"/>
      <c r="OQT37" s="704"/>
      <c r="OQU37" s="704"/>
      <c r="OQV37" s="704"/>
      <c r="OQW37" s="704"/>
      <c r="OQX37" s="704"/>
      <c r="OQY37" s="704"/>
      <c r="OQZ37" s="704"/>
      <c r="ORA37" s="704"/>
      <c r="ORB37" s="704"/>
      <c r="ORC37" s="704"/>
      <c r="ORD37" s="704"/>
      <c r="ORE37" s="704"/>
      <c r="ORF37" s="704"/>
      <c r="ORG37" s="704"/>
      <c r="ORH37" s="704"/>
      <c r="ORI37" s="704"/>
      <c r="ORJ37" s="704"/>
      <c r="ORK37" s="704"/>
      <c r="ORL37" s="704"/>
      <c r="ORM37" s="704"/>
      <c r="ORN37" s="704"/>
      <c r="ORO37" s="704"/>
      <c r="ORP37" s="704"/>
      <c r="ORQ37" s="704"/>
      <c r="ORR37" s="704"/>
      <c r="ORS37" s="704"/>
      <c r="ORT37" s="704"/>
      <c r="ORU37" s="704"/>
      <c r="ORV37" s="704"/>
      <c r="ORW37" s="704"/>
      <c r="ORX37" s="704"/>
      <c r="ORY37" s="704"/>
      <c r="ORZ37" s="704"/>
      <c r="OSA37" s="704"/>
      <c r="OSB37" s="704"/>
      <c r="OSC37" s="704"/>
      <c r="OSD37" s="704"/>
      <c r="OSE37" s="704"/>
      <c r="OSF37" s="704"/>
      <c r="OSG37" s="704"/>
      <c r="OSH37" s="704"/>
      <c r="OSI37" s="704"/>
      <c r="OSJ37" s="704"/>
      <c r="OSK37" s="704"/>
      <c r="OSL37" s="704"/>
      <c r="OSM37" s="704"/>
      <c r="OSN37" s="704"/>
      <c r="OSO37" s="704"/>
      <c r="OSP37" s="704"/>
      <c r="OSQ37" s="704"/>
      <c r="OSR37" s="704"/>
      <c r="OSS37" s="704"/>
      <c r="OST37" s="704"/>
      <c r="OSU37" s="704"/>
      <c r="OSV37" s="704"/>
      <c r="OSW37" s="704"/>
      <c r="OSX37" s="704"/>
      <c r="OSY37" s="704"/>
      <c r="OSZ37" s="704"/>
      <c r="OTA37" s="704"/>
      <c r="OTB37" s="704"/>
      <c r="OTC37" s="704"/>
      <c r="OTD37" s="704"/>
      <c r="OTE37" s="704"/>
      <c r="OTF37" s="704"/>
      <c r="OTG37" s="704"/>
      <c r="OTH37" s="704"/>
      <c r="OTI37" s="704"/>
      <c r="OTJ37" s="704"/>
      <c r="OTK37" s="704"/>
      <c r="OTL37" s="704"/>
      <c r="OTM37" s="704"/>
      <c r="OTN37" s="704"/>
      <c r="OTO37" s="704"/>
      <c r="OTP37" s="704"/>
      <c r="OTQ37" s="704"/>
      <c r="OTR37" s="704"/>
      <c r="OTS37" s="704"/>
      <c r="OTT37" s="704"/>
      <c r="OTU37" s="704"/>
      <c r="OTV37" s="704"/>
      <c r="OTW37" s="704"/>
      <c r="OTX37" s="704"/>
      <c r="OTY37" s="704"/>
      <c r="OTZ37" s="704"/>
      <c r="OUA37" s="704"/>
      <c r="OUB37" s="704"/>
      <c r="OUC37" s="704"/>
      <c r="OUD37" s="704"/>
      <c r="OUE37" s="704"/>
      <c r="OUF37" s="704"/>
      <c r="OUG37" s="704"/>
      <c r="OUH37" s="704"/>
      <c r="OUI37" s="704"/>
      <c r="OUJ37" s="704"/>
      <c r="OUK37" s="704"/>
      <c r="OUL37" s="704"/>
      <c r="OUM37" s="704"/>
      <c r="OUN37" s="704"/>
      <c r="OUO37" s="704"/>
      <c r="OUP37" s="704"/>
      <c r="OUQ37" s="704"/>
      <c r="OUR37" s="704"/>
      <c r="OUS37" s="704"/>
      <c r="OUT37" s="704"/>
      <c r="OUU37" s="704"/>
      <c r="OUV37" s="704"/>
      <c r="OUW37" s="704"/>
      <c r="OUX37" s="704"/>
      <c r="OUY37" s="704"/>
      <c r="OUZ37" s="704"/>
      <c r="OVA37" s="704"/>
      <c r="OVB37" s="704"/>
      <c r="OVC37" s="704"/>
      <c r="OVD37" s="704"/>
      <c r="OVE37" s="704"/>
      <c r="OVF37" s="704"/>
      <c r="OVG37" s="704"/>
      <c r="OVH37" s="704"/>
      <c r="OVI37" s="704"/>
      <c r="OVJ37" s="704"/>
      <c r="OVK37" s="704"/>
      <c r="OVL37" s="704"/>
      <c r="OVM37" s="704"/>
      <c r="OVN37" s="704"/>
      <c r="OVO37" s="704"/>
      <c r="OVP37" s="704"/>
      <c r="OVQ37" s="704"/>
      <c r="OVR37" s="704"/>
      <c r="OVS37" s="704"/>
      <c r="OVT37" s="704"/>
      <c r="OVU37" s="704"/>
      <c r="OVV37" s="704"/>
      <c r="OVW37" s="704"/>
      <c r="OVX37" s="704"/>
      <c r="OVY37" s="704"/>
      <c r="OVZ37" s="704"/>
      <c r="OWA37" s="704"/>
      <c r="OWB37" s="704"/>
      <c r="OWC37" s="704"/>
      <c r="OWD37" s="704"/>
      <c r="OWE37" s="704"/>
      <c r="OWF37" s="704"/>
      <c r="OWG37" s="704"/>
      <c r="OWH37" s="704"/>
      <c r="OWI37" s="704"/>
      <c r="OWJ37" s="704"/>
      <c r="OWK37" s="704"/>
      <c r="OWL37" s="704"/>
      <c r="OWM37" s="704"/>
      <c r="OWN37" s="704"/>
      <c r="OWO37" s="704"/>
      <c r="OWP37" s="704"/>
      <c r="OWQ37" s="704"/>
      <c r="OWR37" s="704"/>
      <c r="OWS37" s="704"/>
      <c r="OWT37" s="704"/>
      <c r="OWU37" s="704"/>
      <c r="OWV37" s="704"/>
      <c r="OWW37" s="704"/>
      <c r="OWX37" s="704"/>
      <c r="OWY37" s="704"/>
      <c r="OWZ37" s="704"/>
      <c r="OXA37" s="704"/>
      <c r="OXB37" s="704"/>
      <c r="OXC37" s="704"/>
      <c r="OXD37" s="704"/>
      <c r="OXE37" s="704"/>
      <c r="OXF37" s="704"/>
      <c r="OXG37" s="704"/>
      <c r="OXH37" s="704"/>
      <c r="OXI37" s="704"/>
      <c r="OXJ37" s="704"/>
      <c r="OXK37" s="704"/>
      <c r="OXL37" s="704"/>
      <c r="OXM37" s="704"/>
      <c r="OXN37" s="704"/>
      <c r="OXO37" s="704"/>
      <c r="OXP37" s="704"/>
      <c r="OXQ37" s="704"/>
      <c r="OXR37" s="704"/>
      <c r="OXS37" s="704"/>
      <c r="OXT37" s="704"/>
      <c r="OXU37" s="704"/>
      <c r="OXV37" s="704"/>
      <c r="OXW37" s="704"/>
      <c r="OXX37" s="704"/>
      <c r="OXY37" s="704"/>
      <c r="OXZ37" s="704"/>
      <c r="OYA37" s="704"/>
      <c r="OYB37" s="704"/>
      <c r="OYC37" s="704"/>
      <c r="OYD37" s="704"/>
      <c r="OYE37" s="704"/>
      <c r="OYF37" s="704"/>
      <c r="OYG37" s="704"/>
      <c r="OYH37" s="704"/>
      <c r="OYI37" s="704"/>
      <c r="OYJ37" s="704"/>
      <c r="OYK37" s="704"/>
      <c r="OYL37" s="704"/>
      <c r="OYM37" s="704"/>
      <c r="OYN37" s="704"/>
      <c r="OYO37" s="704"/>
      <c r="OYP37" s="704"/>
      <c r="OYQ37" s="704"/>
      <c r="OYR37" s="704"/>
      <c r="OYS37" s="704"/>
      <c r="OYT37" s="704"/>
      <c r="OYU37" s="704"/>
      <c r="OYV37" s="704"/>
      <c r="OYW37" s="704"/>
      <c r="OYX37" s="704"/>
      <c r="OYY37" s="704"/>
      <c r="OYZ37" s="704"/>
      <c r="OZA37" s="704"/>
      <c r="OZB37" s="704"/>
      <c r="OZC37" s="704"/>
      <c r="OZD37" s="704"/>
      <c r="OZE37" s="704"/>
      <c r="OZF37" s="704"/>
      <c r="OZG37" s="704"/>
      <c r="OZH37" s="704"/>
      <c r="OZI37" s="704"/>
      <c r="OZJ37" s="704"/>
      <c r="OZK37" s="704"/>
      <c r="OZL37" s="704"/>
      <c r="OZM37" s="704"/>
      <c r="OZN37" s="704"/>
      <c r="OZO37" s="704"/>
      <c r="OZP37" s="704"/>
      <c r="OZQ37" s="704"/>
      <c r="OZR37" s="704"/>
      <c r="OZS37" s="704"/>
      <c r="OZT37" s="704"/>
      <c r="OZU37" s="704"/>
      <c r="OZV37" s="704"/>
      <c r="OZW37" s="704"/>
      <c r="OZX37" s="704"/>
      <c r="OZY37" s="704"/>
      <c r="OZZ37" s="704"/>
      <c r="PAA37" s="704"/>
      <c r="PAB37" s="704"/>
      <c r="PAC37" s="704"/>
      <c r="PAD37" s="704"/>
      <c r="PAE37" s="704"/>
      <c r="PAF37" s="704"/>
      <c r="PAG37" s="704"/>
      <c r="PAH37" s="704"/>
      <c r="PAI37" s="704"/>
      <c r="PAJ37" s="704"/>
      <c r="PAK37" s="704"/>
      <c r="PAL37" s="704"/>
      <c r="PAM37" s="704"/>
      <c r="PAN37" s="704"/>
      <c r="PAO37" s="704"/>
      <c r="PAP37" s="704"/>
      <c r="PAQ37" s="704"/>
      <c r="PAR37" s="704"/>
      <c r="PAS37" s="704"/>
      <c r="PAT37" s="704"/>
      <c r="PAU37" s="704"/>
      <c r="PAV37" s="704"/>
      <c r="PAW37" s="704"/>
      <c r="PAX37" s="704"/>
      <c r="PAY37" s="704"/>
      <c r="PAZ37" s="704"/>
      <c r="PBA37" s="704"/>
      <c r="PBB37" s="704"/>
      <c r="PBC37" s="704"/>
      <c r="PBD37" s="704"/>
      <c r="PBE37" s="704"/>
      <c r="PBF37" s="704"/>
      <c r="PBG37" s="704"/>
      <c r="PBH37" s="704"/>
      <c r="PBI37" s="704"/>
      <c r="PBJ37" s="704"/>
      <c r="PBK37" s="704"/>
      <c r="PBL37" s="704"/>
      <c r="PBM37" s="704"/>
      <c r="PBN37" s="704"/>
      <c r="PBO37" s="704"/>
      <c r="PBP37" s="704"/>
      <c r="PBQ37" s="704"/>
      <c r="PBR37" s="704"/>
      <c r="PBS37" s="704"/>
      <c r="PBT37" s="704"/>
      <c r="PBU37" s="704"/>
      <c r="PBV37" s="704"/>
      <c r="PBW37" s="704"/>
      <c r="PBX37" s="704"/>
      <c r="PBY37" s="704"/>
      <c r="PBZ37" s="704"/>
      <c r="PCA37" s="704"/>
      <c r="PCB37" s="704"/>
      <c r="PCC37" s="704"/>
      <c r="PCD37" s="704"/>
      <c r="PCE37" s="704"/>
      <c r="PCF37" s="704"/>
      <c r="PCG37" s="704"/>
      <c r="PCH37" s="704"/>
      <c r="PCI37" s="704"/>
      <c r="PCJ37" s="704"/>
      <c r="PCK37" s="704"/>
      <c r="PCL37" s="704"/>
      <c r="PCM37" s="704"/>
      <c r="PCN37" s="704"/>
      <c r="PCO37" s="704"/>
      <c r="PCP37" s="704"/>
      <c r="PCQ37" s="704"/>
      <c r="PCR37" s="704"/>
      <c r="PCS37" s="704"/>
      <c r="PCT37" s="704"/>
      <c r="PCU37" s="704"/>
      <c r="PCV37" s="704"/>
      <c r="PCW37" s="704"/>
      <c r="PCX37" s="704"/>
      <c r="PCY37" s="704"/>
      <c r="PCZ37" s="704"/>
      <c r="PDA37" s="704"/>
      <c r="PDB37" s="704"/>
      <c r="PDC37" s="704"/>
      <c r="PDD37" s="704"/>
      <c r="PDE37" s="704"/>
      <c r="PDF37" s="704"/>
      <c r="PDG37" s="704"/>
      <c r="PDH37" s="704"/>
      <c r="PDI37" s="704"/>
      <c r="PDJ37" s="704"/>
      <c r="PDK37" s="704"/>
      <c r="PDL37" s="704"/>
      <c r="PDM37" s="704"/>
      <c r="PDN37" s="704"/>
      <c r="PDO37" s="704"/>
      <c r="PDP37" s="704"/>
      <c r="PDQ37" s="704"/>
      <c r="PDR37" s="704"/>
      <c r="PDS37" s="704"/>
      <c r="PDT37" s="704"/>
      <c r="PDU37" s="704"/>
      <c r="PDV37" s="704"/>
      <c r="PDW37" s="704"/>
      <c r="PDX37" s="704"/>
      <c r="PDY37" s="704"/>
      <c r="PDZ37" s="704"/>
      <c r="PEA37" s="704"/>
      <c r="PEB37" s="704"/>
      <c r="PEC37" s="704"/>
      <c r="PED37" s="704"/>
      <c r="PEE37" s="704"/>
      <c r="PEF37" s="704"/>
      <c r="PEG37" s="704"/>
      <c r="PEH37" s="704"/>
      <c r="PEI37" s="704"/>
      <c r="PEJ37" s="704"/>
      <c r="PEK37" s="704"/>
      <c r="PEL37" s="704"/>
      <c r="PEM37" s="704"/>
      <c r="PEN37" s="704"/>
      <c r="PEO37" s="704"/>
      <c r="PEP37" s="704"/>
      <c r="PEQ37" s="704"/>
      <c r="PER37" s="704"/>
      <c r="PES37" s="704"/>
      <c r="PET37" s="704"/>
      <c r="PEU37" s="704"/>
      <c r="PEV37" s="704"/>
      <c r="PEW37" s="704"/>
      <c r="PEX37" s="704"/>
      <c r="PEY37" s="704"/>
      <c r="PEZ37" s="704"/>
      <c r="PFA37" s="704"/>
      <c r="PFB37" s="704"/>
      <c r="PFC37" s="704"/>
      <c r="PFD37" s="704"/>
      <c r="PFE37" s="704"/>
      <c r="PFF37" s="704"/>
      <c r="PFG37" s="704"/>
      <c r="PFH37" s="704"/>
      <c r="PFI37" s="704"/>
      <c r="PFJ37" s="704"/>
      <c r="PFK37" s="704"/>
      <c r="PFL37" s="704"/>
      <c r="PFM37" s="704"/>
      <c r="PFN37" s="704"/>
      <c r="PFO37" s="704"/>
      <c r="PFP37" s="704"/>
      <c r="PFQ37" s="704"/>
      <c r="PFR37" s="704"/>
      <c r="PFS37" s="704"/>
      <c r="PFT37" s="704"/>
      <c r="PFU37" s="704"/>
      <c r="PFV37" s="704"/>
      <c r="PFW37" s="704"/>
      <c r="PFX37" s="704"/>
      <c r="PFY37" s="704"/>
      <c r="PFZ37" s="704"/>
      <c r="PGA37" s="704"/>
      <c r="PGB37" s="704"/>
      <c r="PGC37" s="704"/>
      <c r="PGD37" s="704"/>
      <c r="PGE37" s="704"/>
      <c r="PGF37" s="704"/>
      <c r="PGG37" s="704"/>
      <c r="PGH37" s="704"/>
      <c r="PGI37" s="704"/>
      <c r="PGJ37" s="704"/>
      <c r="PGK37" s="704"/>
      <c r="PGL37" s="704"/>
      <c r="PGM37" s="704"/>
      <c r="PGN37" s="704"/>
      <c r="PGO37" s="704"/>
      <c r="PGP37" s="704"/>
      <c r="PGQ37" s="704"/>
      <c r="PGR37" s="704"/>
      <c r="PGS37" s="704"/>
      <c r="PGT37" s="704"/>
      <c r="PGU37" s="704"/>
      <c r="PGV37" s="704"/>
      <c r="PGW37" s="704"/>
      <c r="PGX37" s="704"/>
      <c r="PGY37" s="704"/>
      <c r="PGZ37" s="704"/>
      <c r="PHA37" s="704"/>
      <c r="PHB37" s="704"/>
      <c r="PHC37" s="704"/>
      <c r="PHD37" s="704"/>
      <c r="PHE37" s="704"/>
      <c r="PHF37" s="704"/>
      <c r="PHG37" s="704"/>
      <c r="PHH37" s="704"/>
      <c r="PHI37" s="704"/>
      <c r="PHJ37" s="704"/>
      <c r="PHK37" s="704"/>
      <c r="PHL37" s="704"/>
      <c r="PHM37" s="704"/>
      <c r="PHN37" s="704"/>
      <c r="PHO37" s="704"/>
      <c r="PHP37" s="704"/>
      <c r="PHQ37" s="704"/>
      <c r="PHR37" s="704"/>
      <c r="PHS37" s="704"/>
      <c r="PHT37" s="704"/>
      <c r="PHU37" s="704"/>
      <c r="PHV37" s="704"/>
      <c r="PHW37" s="704"/>
      <c r="PHX37" s="704"/>
      <c r="PHY37" s="704"/>
      <c r="PHZ37" s="704"/>
      <c r="PIA37" s="704"/>
      <c r="PIB37" s="704"/>
      <c r="PIC37" s="704"/>
      <c r="PID37" s="704"/>
      <c r="PIE37" s="704"/>
      <c r="PIF37" s="704"/>
      <c r="PIG37" s="704"/>
      <c r="PIH37" s="704"/>
      <c r="PII37" s="704"/>
      <c r="PIJ37" s="704"/>
      <c r="PIK37" s="704"/>
      <c r="PIL37" s="704"/>
      <c r="PIM37" s="704"/>
      <c r="PIN37" s="704"/>
      <c r="PIO37" s="704"/>
      <c r="PIP37" s="704"/>
      <c r="PIQ37" s="704"/>
      <c r="PIR37" s="704"/>
      <c r="PIS37" s="704"/>
      <c r="PIT37" s="704"/>
      <c r="PIU37" s="704"/>
      <c r="PIV37" s="704"/>
      <c r="PIW37" s="704"/>
      <c r="PIX37" s="704"/>
      <c r="PIY37" s="704"/>
      <c r="PIZ37" s="704"/>
      <c r="PJA37" s="704"/>
      <c r="PJB37" s="704"/>
      <c r="PJC37" s="704"/>
      <c r="PJD37" s="704"/>
      <c r="PJE37" s="704"/>
      <c r="PJF37" s="704"/>
      <c r="PJG37" s="704"/>
      <c r="PJH37" s="704"/>
      <c r="PJI37" s="704"/>
      <c r="PJJ37" s="704"/>
      <c r="PJK37" s="704"/>
      <c r="PJL37" s="704"/>
      <c r="PJM37" s="704"/>
      <c r="PJN37" s="704"/>
      <c r="PJO37" s="704"/>
      <c r="PJP37" s="704"/>
      <c r="PJQ37" s="704"/>
      <c r="PJR37" s="704"/>
      <c r="PJS37" s="704"/>
      <c r="PJT37" s="704"/>
      <c r="PJU37" s="704"/>
      <c r="PJV37" s="704"/>
      <c r="PJW37" s="704"/>
      <c r="PJX37" s="704"/>
      <c r="PJY37" s="704"/>
      <c r="PJZ37" s="704"/>
      <c r="PKA37" s="704"/>
      <c r="PKB37" s="704"/>
      <c r="PKC37" s="704"/>
      <c r="PKD37" s="704"/>
      <c r="PKE37" s="704"/>
      <c r="PKF37" s="704"/>
      <c r="PKG37" s="704"/>
      <c r="PKH37" s="704"/>
      <c r="PKI37" s="704"/>
      <c r="PKJ37" s="704"/>
      <c r="PKK37" s="704"/>
      <c r="PKL37" s="704"/>
      <c r="PKM37" s="704"/>
      <c r="PKN37" s="704"/>
      <c r="PKO37" s="704"/>
      <c r="PKP37" s="704"/>
      <c r="PKQ37" s="704"/>
      <c r="PKR37" s="704"/>
      <c r="PKS37" s="704"/>
      <c r="PKT37" s="704"/>
      <c r="PKU37" s="704"/>
      <c r="PKV37" s="704"/>
      <c r="PKW37" s="704"/>
      <c r="PKX37" s="704"/>
      <c r="PKY37" s="704"/>
      <c r="PKZ37" s="704"/>
      <c r="PLA37" s="704"/>
      <c r="PLB37" s="704"/>
      <c r="PLC37" s="704"/>
      <c r="PLD37" s="704"/>
      <c r="PLE37" s="704"/>
      <c r="PLF37" s="704"/>
      <c r="PLG37" s="704"/>
      <c r="PLH37" s="704"/>
      <c r="PLI37" s="704"/>
      <c r="PLJ37" s="704"/>
      <c r="PLK37" s="704"/>
      <c r="PLL37" s="704"/>
      <c r="PLM37" s="704"/>
      <c r="PLN37" s="704"/>
      <c r="PLO37" s="704"/>
      <c r="PLP37" s="704"/>
      <c r="PLQ37" s="704"/>
      <c r="PLR37" s="704"/>
      <c r="PLS37" s="704"/>
      <c r="PLT37" s="704"/>
      <c r="PLU37" s="704"/>
      <c r="PLV37" s="704"/>
      <c r="PLW37" s="704"/>
      <c r="PLX37" s="704"/>
      <c r="PLY37" s="704"/>
      <c r="PLZ37" s="704"/>
      <c r="PMA37" s="704"/>
      <c r="PMB37" s="704"/>
      <c r="PMC37" s="704"/>
      <c r="PMD37" s="704"/>
      <c r="PME37" s="704"/>
      <c r="PMF37" s="704"/>
      <c r="PMG37" s="704"/>
      <c r="PMH37" s="704"/>
      <c r="PMI37" s="704"/>
      <c r="PMJ37" s="704"/>
      <c r="PMK37" s="704"/>
      <c r="PML37" s="704"/>
      <c r="PMM37" s="704"/>
      <c r="PMN37" s="704"/>
      <c r="PMO37" s="704"/>
      <c r="PMP37" s="704"/>
      <c r="PMQ37" s="704"/>
      <c r="PMR37" s="704"/>
      <c r="PMS37" s="704"/>
      <c r="PMT37" s="704"/>
      <c r="PMU37" s="704"/>
      <c r="PMV37" s="704"/>
      <c r="PMW37" s="704"/>
      <c r="PMX37" s="704"/>
      <c r="PMY37" s="704"/>
      <c r="PMZ37" s="704"/>
      <c r="PNA37" s="704"/>
      <c r="PNB37" s="704"/>
      <c r="PNC37" s="704"/>
      <c r="PND37" s="704"/>
      <c r="PNE37" s="704"/>
      <c r="PNF37" s="704"/>
      <c r="PNG37" s="704"/>
      <c r="PNH37" s="704"/>
      <c r="PNI37" s="704"/>
      <c r="PNJ37" s="704"/>
      <c r="PNK37" s="704"/>
      <c r="PNL37" s="704"/>
      <c r="PNM37" s="704"/>
      <c r="PNN37" s="704"/>
      <c r="PNO37" s="704"/>
      <c r="PNP37" s="704"/>
      <c r="PNQ37" s="704"/>
      <c r="PNR37" s="704"/>
      <c r="PNS37" s="704"/>
      <c r="PNT37" s="704"/>
      <c r="PNU37" s="704"/>
      <c r="PNV37" s="704"/>
      <c r="PNW37" s="704"/>
      <c r="PNX37" s="704"/>
      <c r="PNY37" s="704"/>
      <c r="PNZ37" s="704"/>
      <c r="POA37" s="704"/>
      <c r="POB37" s="704"/>
      <c r="POC37" s="704"/>
      <c r="POD37" s="704"/>
      <c r="POE37" s="704"/>
      <c r="POF37" s="704"/>
      <c r="POG37" s="704"/>
      <c r="POH37" s="704"/>
      <c r="POI37" s="704"/>
      <c r="POJ37" s="704"/>
      <c r="POK37" s="704"/>
      <c r="POL37" s="704"/>
      <c r="POM37" s="704"/>
      <c r="PON37" s="704"/>
      <c r="POO37" s="704"/>
      <c r="POP37" s="704"/>
      <c r="POQ37" s="704"/>
      <c r="POR37" s="704"/>
      <c r="POS37" s="704"/>
      <c r="POT37" s="704"/>
      <c r="POU37" s="704"/>
      <c r="POV37" s="704"/>
      <c r="POW37" s="704"/>
      <c r="POX37" s="704"/>
      <c r="POY37" s="704"/>
      <c r="POZ37" s="704"/>
      <c r="PPA37" s="704"/>
      <c r="PPB37" s="704"/>
      <c r="PPC37" s="704"/>
      <c r="PPD37" s="704"/>
      <c r="PPE37" s="704"/>
      <c r="PPF37" s="704"/>
      <c r="PPG37" s="704"/>
      <c r="PPH37" s="704"/>
      <c r="PPI37" s="704"/>
      <c r="PPJ37" s="704"/>
      <c r="PPK37" s="704"/>
      <c r="PPL37" s="704"/>
      <c r="PPM37" s="704"/>
      <c r="PPN37" s="704"/>
      <c r="PPO37" s="704"/>
      <c r="PPP37" s="704"/>
      <c r="PPQ37" s="704"/>
      <c r="PPR37" s="704"/>
      <c r="PPS37" s="704"/>
      <c r="PPT37" s="704"/>
      <c r="PPU37" s="704"/>
      <c r="PPV37" s="704"/>
      <c r="PPW37" s="704"/>
      <c r="PPX37" s="704"/>
      <c r="PPY37" s="704"/>
      <c r="PPZ37" s="704"/>
      <c r="PQA37" s="704"/>
      <c r="PQB37" s="704"/>
      <c r="PQC37" s="704"/>
      <c r="PQD37" s="704"/>
      <c r="PQE37" s="704"/>
      <c r="PQF37" s="704"/>
      <c r="PQG37" s="704"/>
      <c r="PQH37" s="704"/>
      <c r="PQI37" s="704"/>
      <c r="PQJ37" s="704"/>
      <c r="PQK37" s="704"/>
      <c r="PQL37" s="704"/>
      <c r="PQM37" s="704"/>
      <c r="PQN37" s="704"/>
      <c r="PQO37" s="704"/>
      <c r="PQP37" s="704"/>
      <c r="PQQ37" s="704"/>
      <c r="PQR37" s="704"/>
      <c r="PQS37" s="704"/>
      <c r="PQT37" s="704"/>
      <c r="PQU37" s="704"/>
      <c r="PQV37" s="704"/>
      <c r="PQW37" s="704"/>
      <c r="PQX37" s="704"/>
      <c r="PQY37" s="704"/>
      <c r="PQZ37" s="704"/>
      <c r="PRA37" s="704"/>
      <c r="PRB37" s="704"/>
      <c r="PRC37" s="704"/>
      <c r="PRD37" s="704"/>
      <c r="PRE37" s="704"/>
      <c r="PRF37" s="704"/>
      <c r="PRG37" s="704"/>
      <c r="PRH37" s="704"/>
      <c r="PRI37" s="704"/>
      <c r="PRJ37" s="704"/>
      <c r="PRK37" s="704"/>
      <c r="PRL37" s="704"/>
      <c r="PRM37" s="704"/>
      <c r="PRN37" s="704"/>
      <c r="PRO37" s="704"/>
      <c r="PRP37" s="704"/>
      <c r="PRQ37" s="704"/>
      <c r="PRR37" s="704"/>
      <c r="PRS37" s="704"/>
      <c r="PRT37" s="704"/>
      <c r="PRU37" s="704"/>
      <c r="PRV37" s="704"/>
      <c r="PRW37" s="704"/>
      <c r="PRX37" s="704"/>
      <c r="PRY37" s="704"/>
      <c r="PRZ37" s="704"/>
      <c r="PSA37" s="704"/>
      <c r="PSB37" s="704"/>
      <c r="PSC37" s="704"/>
      <c r="PSD37" s="704"/>
      <c r="PSE37" s="704"/>
      <c r="PSF37" s="704"/>
      <c r="PSG37" s="704"/>
      <c r="PSH37" s="704"/>
      <c r="PSI37" s="704"/>
      <c r="PSJ37" s="704"/>
      <c r="PSK37" s="704"/>
      <c r="PSL37" s="704"/>
      <c r="PSM37" s="704"/>
      <c r="PSN37" s="704"/>
      <c r="PSO37" s="704"/>
      <c r="PSP37" s="704"/>
      <c r="PSQ37" s="704"/>
      <c r="PSR37" s="704"/>
      <c r="PSS37" s="704"/>
      <c r="PST37" s="704"/>
      <c r="PSU37" s="704"/>
      <c r="PSV37" s="704"/>
      <c r="PSW37" s="704"/>
      <c r="PSX37" s="704"/>
      <c r="PSY37" s="704"/>
      <c r="PSZ37" s="704"/>
      <c r="PTA37" s="704"/>
      <c r="PTB37" s="704"/>
      <c r="PTC37" s="704"/>
      <c r="PTD37" s="704"/>
      <c r="PTE37" s="704"/>
      <c r="PTF37" s="704"/>
      <c r="PTG37" s="704"/>
      <c r="PTH37" s="704"/>
      <c r="PTI37" s="704"/>
      <c r="PTJ37" s="704"/>
      <c r="PTK37" s="704"/>
      <c r="PTL37" s="704"/>
      <c r="PTM37" s="704"/>
      <c r="PTN37" s="704"/>
      <c r="PTO37" s="704"/>
      <c r="PTP37" s="704"/>
      <c r="PTQ37" s="704"/>
      <c r="PTR37" s="704"/>
      <c r="PTS37" s="704"/>
      <c r="PTT37" s="704"/>
      <c r="PTU37" s="704"/>
      <c r="PTV37" s="704"/>
      <c r="PTW37" s="704"/>
      <c r="PTX37" s="704"/>
      <c r="PTY37" s="704"/>
      <c r="PTZ37" s="704"/>
      <c r="PUA37" s="704"/>
      <c r="PUB37" s="704"/>
      <c r="PUC37" s="704"/>
      <c r="PUD37" s="704"/>
      <c r="PUE37" s="704"/>
      <c r="PUF37" s="704"/>
      <c r="PUG37" s="704"/>
      <c r="PUH37" s="704"/>
      <c r="PUI37" s="704"/>
      <c r="PUJ37" s="704"/>
      <c r="PUK37" s="704"/>
      <c r="PUL37" s="704"/>
      <c r="PUM37" s="704"/>
      <c r="PUN37" s="704"/>
      <c r="PUO37" s="704"/>
      <c r="PUP37" s="704"/>
      <c r="PUQ37" s="704"/>
      <c r="PUR37" s="704"/>
      <c r="PUS37" s="704"/>
      <c r="PUT37" s="704"/>
      <c r="PUU37" s="704"/>
      <c r="PUV37" s="704"/>
      <c r="PUW37" s="704"/>
      <c r="PUX37" s="704"/>
      <c r="PUY37" s="704"/>
      <c r="PUZ37" s="704"/>
      <c r="PVA37" s="704"/>
      <c r="PVB37" s="704"/>
      <c r="PVC37" s="704"/>
      <c r="PVD37" s="704"/>
      <c r="PVE37" s="704"/>
      <c r="PVF37" s="704"/>
      <c r="PVG37" s="704"/>
      <c r="PVH37" s="704"/>
      <c r="PVI37" s="704"/>
      <c r="PVJ37" s="704"/>
      <c r="PVK37" s="704"/>
      <c r="PVL37" s="704"/>
      <c r="PVM37" s="704"/>
      <c r="PVN37" s="704"/>
      <c r="PVO37" s="704"/>
      <c r="PVP37" s="704"/>
      <c r="PVQ37" s="704"/>
      <c r="PVR37" s="704"/>
      <c r="PVS37" s="704"/>
      <c r="PVT37" s="704"/>
      <c r="PVU37" s="704"/>
      <c r="PVV37" s="704"/>
      <c r="PVW37" s="704"/>
      <c r="PVX37" s="704"/>
      <c r="PVY37" s="704"/>
      <c r="PVZ37" s="704"/>
      <c r="PWA37" s="704"/>
      <c r="PWB37" s="704"/>
      <c r="PWC37" s="704"/>
      <c r="PWD37" s="704"/>
      <c r="PWE37" s="704"/>
      <c r="PWF37" s="704"/>
      <c r="PWG37" s="704"/>
      <c r="PWH37" s="704"/>
      <c r="PWI37" s="704"/>
      <c r="PWJ37" s="704"/>
      <c r="PWK37" s="704"/>
      <c r="PWL37" s="704"/>
      <c r="PWM37" s="704"/>
      <c r="PWN37" s="704"/>
      <c r="PWO37" s="704"/>
      <c r="PWP37" s="704"/>
      <c r="PWQ37" s="704"/>
      <c r="PWR37" s="704"/>
      <c r="PWS37" s="704"/>
      <c r="PWT37" s="704"/>
      <c r="PWU37" s="704"/>
      <c r="PWV37" s="704"/>
      <c r="PWW37" s="704"/>
      <c r="PWX37" s="704"/>
      <c r="PWY37" s="704"/>
      <c r="PWZ37" s="704"/>
      <c r="PXA37" s="704"/>
      <c r="PXB37" s="704"/>
      <c r="PXC37" s="704"/>
      <c r="PXD37" s="704"/>
      <c r="PXE37" s="704"/>
      <c r="PXF37" s="704"/>
      <c r="PXG37" s="704"/>
      <c r="PXH37" s="704"/>
      <c r="PXI37" s="704"/>
      <c r="PXJ37" s="704"/>
      <c r="PXK37" s="704"/>
      <c r="PXL37" s="704"/>
      <c r="PXM37" s="704"/>
      <c r="PXN37" s="704"/>
      <c r="PXO37" s="704"/>
      <c r="PXP37" s="704"/>
      <c r="PXQ37" s="704"/>
      <c r="PXR37" s="704"/>
      <c r="PXS37" s="704"/>
      <c r="PXT37" s="704"/>
      <c r="PXU37" s="704"/>
      <c r="PXV37" s="704"/>
      <c r="PXW37" s="704"/>
      <c r="PXX37" s="704"/>
      <c r="PXY37" s="704"/>
      <c r="PXZ37" s="704"/>
      <c r="PYA37" s="704"/>
      <c r="PYB37" s="704"/>
      <c r="PYC37" s="704"/>
      <c r="PYD37" s="704"/>
      <c r="PYE37" s="704"/>
      <c r="PYF37" s="704"/>
      <c r="PYG37" s="704"/>
      <c r="PYH37" s="704"/>
      <c r="PYI37" s="704"/>
      <c r="PYJ37" s="704"/>
      <c r="PYK37" s="704"/>
      <c r="PYL37" s="704"/>
      <c r="PYM37" s="704"/>
      <c r="PYN37" s="704"/>
      <c r="PYO37" s="704"/>
      <c r="PYP37" s="704"/>
      <c r="PYQ37" s="704"/>
      <c r="PYR37" s="704"/>
      <c r="PYS37" s="704"/>
      <c r="PYT37" s="704"/>
      <c r="PYU37" s="704"/>
      <c r="PYV37" s="704"/>
      <c r="PYW37" s="704"/>
      <c r="PYX37" s="704"/>
      <c r="PYY37" s="704"/>
      <c r="PYZ37" s="704"/>
      <c r="PZA37" s="704"/>
      <c r="PZB37" s="704"/>
      <c r="PZC37" s="704"/>
      <c r="PZD37" s="704"/>
      <c r="PZE37" s="704"/>
      <c r="PZF37" s="704"/>
      <c r="PZG37" s="704"/>
      <c r="PZH37" s="704"/>
      <c r="PZI37" s="704"/>
      <c r="PZJ37" s="704"/>
      <c r="PZK37" s="704"/>
      <c r="PZL37" s="704"/>
      <c r="PZM37" s="704"/>
      <c r="PZN37" s="704"/>
      <c r="PZO37" s="704"/>
      <c r="PZP37" s="704"/>
      <c r="PZQ37" s="704"/>
      <c r="PZR37" s="704"/>
      <c r="PZS37" s="704"/>
      <c r="PZT37" s="704"/>
      <c r="PZU37" s="704"/>
      <c r="PZV37" s="704"/>
      <c r="PZW37" s="704"/>
      <c r="PZX37" s="704"/>
      <c r="PZY37" s="704"/>
      <c r="PZZ37" s="704"/>
      <c r="QAA37" s="704"/>
      <c r="QAB37" s="704"/>
      <c r="QAC37" s="704"/>
      <c r="QAD37" s="704"/>
      <c r="QAE37" s="704"/>
      <c r="QAF37" s="704"/>
      <c r="QAG37" s="704"/>
      <c r="QAH37" s="704"/>
      <c r="QAI37" s="704"/>
      <c r="QAJ37" s="704"/>
      <c r="QAK37" s="704"/>
      <c r="QAL37" s="704"/>
      <c r="QAM37" s="704"/>
      <c r="QAN37" s="704"/>
      <c r="QAO37" s="704"/>
      <c r="QAP37" s="704"/>
      <c r="QAQ37" s="704"/>
      <c r="QAR37" s="704"/>
      <c r="QAS37" s="704"/>
      <c r="QAT37" s="704"/>
      <c r="QAU37" s="704"/>
      <c r="QAV37" s="704"/>
      <c r="QAW37" s="704"/>
      <c r="QAX37" s="704"/>
      <c r="QAY37" s="704"/>
      <c r="QAZ37" s="704"/>
      <c r="QBA37" s="704"/>
      <c r="QBB37" s="704"/>
      <c r="QBC37" s="704"/>
      <c r="QBD37" s="704"/>
      <c r="QBE37" s="704"/>
      <c r="QBF37" s="704"/>
      <c r="QBG37" s="704"/>
      <c r="QBH37" s="704"/>
      <c r="QBI37" s="704"/>
      <c r="QBJ37" s="704"/>
      <c r="QBK37" s="704"/>
      <c r="QBL37" s="704"/>
      <c r="QBM37" s="704"/>
      <c r="QBN37" s="704"/>
      <c r="QBO37" s="704"/>
      <c r="QBP37" s="704"/>
      <c r="QBQ37" s="704"/>
      <c r="QBR37" s="704"/>
      <c r="QBS37" s="704"/>
      <c r="QBT37" s="704"/>
      <c r="QBU37" s="704"/>
      <c r="QBV37" s="704"/>
      <c r="QBW37" s="704"/>
      <c r="QBX37" s="704"/>
      <c r="QBY37" s="704"/>
      <c r="QBZ37" s="704"/>
      <c r="QCA37" s="704"/>
      <c r="QCB37" s="704"/>
      <c r="QCC37" s="704"/>
      <c r="QCD37" s="704"/>
      <c r="QCE37" s="704"/>
      <c r="QCF37" s="704"/>
      <c r="QCG37" s="704"/>
      <c r="QCH37" s="704"/>
      <c r="QCI37" s="704"/>
      <c r="QCJ37" s="704"/>
      <c r="QCK37" s="704"/>
      <c r="QCL37" s="704"/>
      <c r="QCM37" s="704"/>
      <c r="QCN37" s="704"/>
      <c r="QCO37" s="704"/>
      <c r="QCP37" s="704"/>
      <c r="QCQ37" s="704"/>
      <c r="QCR37" s="704"/>
      <c r="QCS37" s="704"/>
      <c r="QCT37" s="704"/>
      <c r="QCU37" s="704"/>
      <c r="QCV37" s="704"/>
      <c r="QCW37" s="704"/>
      <c r="QCX37" s="704"/>
      <c r="QCY37" s="704"/>
      <c r="QCZ37" s="704"/>
      <c r="QDA37" s="704"/>
      <c r="QDB37" s="704"/>
      <c r="QDC37" s="704"/>
      <c r="QDD37" s="704"/>
      <c r="QDE37" s="704"/>
      <c r="QDF37" s="704"/>
      <c r="QDG37" s="704"/>
      <c r="QDH37" s="704"/>
      <c r="QDI37" s="704"/>
      <c r="QDJ37" s="704"/>
      <c r="QDK37" s="704"/>
      <c r="QDL37" s="704"/>
      <c r="QDM37" s="704"/>
      <c r="QDN37" s="704"/>
      <c r="QDO37" s="704"/>
      <c r="QDP37" s="704"/>
      <c r="QDQ37" s="704"/>
      <c r="QDR37" s="704"/>
      <c r="QDS37" s="704"/>
      <c r="QDT37" s="704"/>
      <c r="QDU37" s="704"/>
      <c r="QDV37" s="704"/>
      <c r="QDW37" s="704"/>
      <c r="QDX37" s="704"/>
      <c r="QDY37" s="704"/>
      <c r="QDZ37" s="704"/>
      <c r="QEA37" s="704"/>
      <c r="QEB37" s="704"/>
      <c r="QEC37" s="704"/>
      <c r="QED37" s="704"/>
      <c r="QEE37" s="704"/>
      <c r="QEF37" s="704"/>
      <c r="QEG37" s="704"/>
      <c r="QEH37" s="704"/>
      <c r="QEI37" s="704"/>
      <c r="QEJ37" s="704"/>
      <c r="QEK37" s="704"/>
      <c r="QEL37" s="704"/>
      <c r="QEM37" s="704"/>
      <c r="QEN37" s="704"/>
      <c r="QEO37" s="704"/>
      <c r="QEP37" s="704"/>
      <c r="QEQ37" s="704"/>
      <c r="QER37" s="704"/>
      <c r="QES37" s="704"/>
      <c r="QET37" s="704"/>
      <c r="QEU37" s="704"/>
      <c r="QEV37" s="704"/>
      <c r="QEW37" s="704"/>
      <c r="QEX37" s="704"/>
      <c r="QEY37" s="704"/>
      <c r="QEZ37" s="704"/>
      <c r="QFA37" s="704"/>
      <c r="QFB37" s="704"/>
      <c r="QFC37" s="704"/>
      <c r="QFD37" s="704"/>
      <c r="QFE37" s="704"/>
      <c r="QFF37" s="704"/>
      <c r="QFG37" s="704"/>
      <c r="QFH37" s="704"/>
      <c r="QFI37" s="704"/>
      <c r="QFJ37" s="704"/>
      <c r="QFK37" s="704"/>
      <c r="QFL37" s="704"/>
      <c r="QFM37" s="704"/>
      <c r="QFN37" s="704"/>
      <c r="QFO37" s="704"/>
      <c r="QFP37" s="704"/>
      <c r="QFQ37" s="704"/>
      <c r="QFR37" s="704"/>
      <c r="QFS37" s="704"/>
      <c r="QFT37" s="704"/>
      <c r="QFU37" s="704"/>
      <c r="QFV37" s="704"/>
      <c r="QFW37" s="704"/>
      <c r="QFX37" s="704"/>
      <c r="QFY37" s="704"/>
      <c r="QFZ37" s="704"/>
      <c r="QGA37" s="704"/>
      <c r="QGB37" s="704"/>
      <c r="QGC37" s="704"/>
      <c r="QGD37" s="704"/>
      <c r="QGE37" s="704"/>
      <c r="QGF37" s="704"/>
      <c r="QGG37" s="704"/>
      <c r="QGH37" s="704"/>
      <c r="QGI37" s="704"/>
      <c r="QGJ37" s="704"/>
      <c r="QGK37" s="704"/>
      <c r="QGL37" s="704"/>
      <c r="QGM37" s="704"/>
      <c r="QGN37" s="704"/>
      <c r="QGO37" s="704"/>
      <c r="QGP37" s="704"/>
      <c r="QGQ37" s="704"/>
      <c r="QGR37" s="704"/>
      <c r="QGS37" s="704"/>
      <c r="QGT37" s="704"/>
      <c r="QGU37" s="704"/>
      <c r="QGV37" s="704"/>
      <c r="QGW37" s="704"/>
      <c r="QGX37" s="704"/>
      <c r="QGY37" s="704"/>
      <c r="QGZ37" s="704"/>
      <c r="QHA37" s="704"/>
      <c r="QHB37" s="704"/>
      <c r="QHC37" s="704"/>
      <c r="QHD37" s="704"/>
      <c r="QHE37" s="704"/>
      <c r="QHF37" s="704"/>
      <c r="QHG37" s="704"/>
      <c r="QHH37" s="704"/>
      <c r="QHI37" s="704"/>
      <c r="QHJ37" s="704"/>
      <c r="QHK37" s="704"/>
      <c r="QHL37" s="704"/>
      <c r="QHM37" s="704"/>
      <c r="QHN37" s="704"/>
      <c r="QHO37" s="704"/>
      <c r="QHP37" s="704"/>
      <c r="QHQ37" s="704"/>
      <c r="QHR37" s="704"/>
      <c r="QHS37" s="704"/>
      <c r="QHT37" s="704"/>
      <c r="QHU37" s="704"/>
      <c r="QHV37" s="704"/>
      <c r="QHW37" s="704"/>
      <c r="QHX37" s="704"/>
      <c r="QHY37" s="704"/>
      <c r="QHZ37" s="704"/>
      <c r="QIA37" s="704"/>
      <c r="QIB37" s="704"/>
      <c r="QIC37" s="704"/>
      <c r="QID37" s="704"/>
      <c r="QIE37" s="704"/>
      <c r="QIF37" s="704"/>
      <c r="QIG37" s="704"/>
      <c r="QIH37" s="704"/>
      <c r="QII37" s="704"/>
      <c r="QIJ37" s="704"/>
      <c r="QIK37" s="704"/>
      <c r="QIL37" s="704"/>
      <c r="QIM37" s="704"/>
      <c r="QIN37" s="704"/>
      <c r="QIO37" s="704"/>
      <c r="QIP37" s="704"/>
      <c r="QIQ37" s="704"/>
      <c r="QIR37" s="704"/>
      <c r="QIS37" s="704"/>
      <c r="QIT37" s="704"/>
      <c r="QIU37" s="704"/>
      <c r="QIV37" s="704"/>
      <c r="QIW37" s="704"/>
      <c r="QIX37" s="704"/>
      <c r="QIY37" s="704"/>
      <c r="QIZ37" s="704"/>
      <c r="QJA37" s="704"/>
      <c r="QJB37" s="704"/>
      <c r="QJC37" s="704"/>
      <c r="QJD37" s="704"/>
      <c r="QJE37" s="704"/>
      <c r="QJF37" s="704"/>
      <c r="QJG37" s="704"/>
      <c r="QJH37" s="704"/>
      <c r="QJI37" s="704"/>
      <c r="QJJ37" s="704"/>
      <c r="QJK37" s="704"/>
      <c r="QJL37" s="704"/>
      <c r="QJM37" s="704"/>
      <c r="QJN37" s="704"/>
      <c r="QJO37" s="704"/>
      <c r="QJP37" s="704"/>
      <c r="QJQ37" s="704"/>
      <c r="QJR37" s="704"/>
      <c r="QJS37" s="704"/>
      <c r="QJT37" s="704"/>
      <c r="QJU37" s="704"/>
      <c r="QJV37" s="704"/>
      <c r="QJW37" s="704"/>
      <c r="QJX37" s="704"/>
      <c r="QJY37" s="704"/>
      <c r="QJZ37" s="704"/>
      <c r="QKA37" s="704"/>
      <c r="QKB37" s="704"/>
      <c r="QKC37" s="704"/>
      <c r="QKD37" s="704"/>
      <c r="QKE37" s="704"/>
      <c r="QKF37" s="704"/>
      <c r="QKG37" s="704"/>
      <c r="QKH37" s="704"/>
      <c r="QKI37" s="704"/>
      <c r="QKJ37" s="704"/>
      <c r="QKK37" s="704"/>
      <c r="QKL37" s="704"/>
      <c r="QKM37" s="704"/>
      <c r="QKN37" s="704"/>
      <c r="QKO37" s="704"/>
      <c r="QKP37" s="704"/>
      <c r="QKQ37" s="704"/>
      <c r="QKR37" s="704"/>
      <c r="QKS37" s="704"/>
      <c r="QKT37" s="704"/>
      <c r="QKU37" s="704"/>
      <c r="QKV37" s="704"/>
      <c r="QKW37" s="704"/>
      <c r="QKX37" s="704"/>
      <c r="QKY37" s="704"/>
      <c r="QKZ37" s="704"/>
      <c r="QLA37" s="704"/>
      <c r="QLB37" s="704"/>
      <c r="QLC37" s="704"/>
      <c r="QLD37" s="704"/>
      <c r="QLE37" s="704"/>
      <c r="QLF37" s="704"/>
      <c r="QLG37" s="704"/>
      <c r="QLH37" s="704"/>
      <c r="QLI37" s="704"/>
      <c r="QLJ37" s="704"/>
      <c r="QLK37" s="704"/>
      <c r="QLL37" s="704"/>
      <c r="QLM37" s="704"/>
      <c r="QLN37" s="704"/>
      <c r="QLO37" s="704"/>
      <c r="QLP37" s="704"/>
      <c r="QLQ37" s="704"/>
      <c r="QLR37" s="704"/>
      <c r="QLS37" s="704"/>
      <c r="QLT37" s="704"/>
      <c r="QLU37" s="704"/>
      <c r="QLV37" s="704"/>
      <c r="QLW37" s="704"/>
      <c r="QLX37" s="704"/>
      <c r="QLY37" s="704"/>
      <c r="QLZ37" s="704"/>
      <c r="QMA37" s="704"/>
      <c r="QMB37" s="704"/>
      <c r="QMC37" s="704"/>
      <c r="QMD37" s="704"/>
      <c r="QME37" s="704"/>
      <c r="QMF37" s="704"/>
      <c r="QMG37" s="704"/>
      <c r="QMH37" s="704"/>
      <c r="QMI37" s="704"/>
      <c r="QMJ37" s="704"/>
      <c r="QMK37" s="704"/>
      <c r="QML37" s="704"/>
      <c r="QMM37" s="704"/>
      <c r="QMN37" s="704"/>
      <c r="QMO37" s="704"/>
      <c r="QMP37" s="704"/>
      <c r="QMQ37" s="704"/>
      <c r="QMR37" s="704"/>
      <c r="QMS37" s="704"/>
      <c r="QMT37" s="704"/>
      <c r="QMU37" s="704"/>
      <c r="QMV37" s="704"/>
      <c r="QMW37" s="704"/>
      <c r="QMX37" s="704"/>
      <c r="QMY37" s="704"/>
      <c r="QMZ37" s="704"/>
      <c r="QNA37" s="704"/>
      <c r="QNB37" s="704"/>
      <c r="QNC37" s="704"/>
      <c r="QND37" s="704"/>
      <c r="QNE37" s="704"/>
      <c r="QNF37" s="704"/>
      <c r="QNG37" s="704"/>
      <c r="QNH37" s="704"/>
      <c r="QNI37" s="704"/>
      <c r="QNJ37" s="704"/>
      <c r="QNK37" s="704"/>
      <c r="QNL37" s="704"/>
      <c r="QNM37" s="704"/>
      <c r="QNN37" s="704"/>
      <c r="QNO37" s="704"/>
      <c r="QNP37" s="704"/>
      <c r="QNQ37" s="704"/>
      <c r="QNR37" s="704"/>
      <c r="QNS37" s="704"/>
      <c r="QNT37" s="704"/>
      <c r="QNU37" s="704"/>
      <c r="QNV37" s="704"/>
      <c r="QNW37" s="704"/>
      <c r="QNX37" s="704"/>
      <c r="QNY37" s="704"/>
      <c r="QNZ37" s="704"/>
      <c r="QOA37" s="704"/>
      <c r="QOB37" s="704"/>
      <c r="QOC37" s="704"/>
      <c r="QOD37" s="704"/>
      <c r="QOE37" s="704"/>
      <c r="QOF37" s="704"/>
      <c r="QOG37" s="704"/>
      <c r="QOH37" s="704"/>
      <c r="QOI37" s="704"/>
      <c r="QOJ37" s="704"/>
      <c r="QOK37" s="704"/>
      <c r="QOL37" s="704"/>
      <c r="QOM37" s="704"/>
      <c r="QON37" s="704"/>
      <c r="QOO37" s="704"/>
      <c r="QOP37" s="704"/>
      <c r="QOQ37" s="704"/>
      <c r="QOR37" s="704"/>
      <c r="QOS37" s="704"/>
      <c r="QOT37" s="704"/>
      <c r="QOU37" s="704"/>
      <c r="QOV37" s="704"/>
      <c r="QOW37" s="704"/>
      <c r="QOX37" s="704"/>
      <c r="QOY37" s="704"/>
      <c r="QOZ37" s="704"/>
      <c r="QPA37" s="704"/>
      <c r="QPB37" s="704"/>
      <c r="QPC37" s="704"/>
      <c r="QPD37" s="704"/>
      <c r="QPE37" s="704"/>
      <c r="QPF37" s="704"/>
      <c r="QPG37" s="704"/>
      <c r="QPH37" s="704"/>
      <c r="QPI37" s="704"/>
      <c r="QPJ37" s="704"/>
      <c r="QPK37" s="704"/>
      <c r="QPL37" s="704"/>
      <c r="QPM37" s="704"/>
      <c r="QPN37" s="704"/>
      <c r="QPO37" s="704"/>
      <c r="QPP37" s="704"/>
      <c r="QPQ37" s="704"/>
      <c r="QPR37" s="704"/>
      <c r="QPS37" s="704"/>
      <c r="QPT37" s="704"/>
      <c r="QPU37" s="704"/>
      <c r="QPV37" s="704"/>
      <c r="QPW37" s="704"/>
      <c r="QPX37" s="704"/>
      <c r="QPY37" s="704"/>
      <c r="QPZ37" s="704"/>
      <c r="QQA37" s="704"/>
      <c r="QQB37" s="704"/>
      <c r="QQC37" s="704"/>
      <c r="QQD37" s="704"/>
      <c r="QQE37" s="704"/>
      <c r="QQF37" s="704"/>
      <c r="QQG37" s="704"/>
      <c r="QQH37" s="704"/>
      <c r="QQI37" s="704"/>
      <c r="QQJ37" s="704"/>
      <c r="QQK37" s="704"/>
      <c r="QQL37" s="704"/>
      <c r="QQM37" s="704"/>
      <c r="QQN37" s="704"/>
      <c r="QQO37" s="704"/>
      <c r="QQP37" s="704"/>
      <c r="QQQ37" s="704"/>
      <c r="QQR37" s="704"/>
      <c r="QQS37" s="704"/>
      <c r="QQT37" s="704"/>
      <c r="QQU37" s="704"/>
      <c r="QQV37" s="704"/>
      <c r="QQW37" s="704"/>
      <c r="QQX37" s="704"/>
      <c r="QQY37" s="704"/>
      <c r="QQZ37" s="704"/>
      <c r="QRA37" s="704"/>
      <c r="QRB37" s="704"/>
      <c r="QRC37" s="704"/>
      <c r="QRD37" s="704"/>
      <c r="QRE37" s="704"/>
      <c r="QRF37" s="704"/>
      <c r="QRG37" s="704"/>
      <c r="QRH37" s="704"/>
      <c r="QRI37" s="704"/>
      <c r="QRJ37" s="704"/>
      <c r="QRK37" s="704"/>
      <c r="QRL37" s="704"/>
      <c r="QRM37" s="704"/>
      <c r="QRN37" s="704"/>
      <c r="QRO37" s="704"/>
      <c r="QRP37" s="704"/>
      <c r="QRQ37" s="704"/>
      <c r="QRR37" s="704"/>
      <c r="QRS37" s="704"/>
      <c r="QRT37" s="704"/>
      <c r="QRU37" s="704"/>
      <c r="QRV37" s="704"/>
      <c r="QRW37" s="704"/>
      <c r="QRX37" s="704"/>
      <c r="QRY37" s="704"/>
      <c r="QRZ37" s="704"/>
      <c r="QSA37" s="704"/>
      <c r="QSB37" s="704"/>
      <c r="QSC37" s="704"/>
      <c r="QSD37" s="704"/>
      <c r="QSE37" s="704"/>
      <c r="QSF37" s="704"/>
      <c r="QSG37" s="704"/>
      <c r="QSH37" s="704"/>
      <c r="QSI37" s="704"/>
      <c r="QSJ37" s="704"/>
      <c r="QSK37" s="704"/>
      <c r="QSL37" s="704"/>
      <c r="QSM37" s="704"/>
      <c r="QSN37" s="704"/>
      <c r="QSO37" s="704"/>
      <c r="QSP37" s="704"/>
      <c r="QSQ37" s="704"/>
      <c r="QSR37" s="704"/>
      <c r="QSS37" s="704"/>
      <c r="QST37" s="704"/>
      <c r="QSU37" s="704"/>
      <c r="QSV37" s="704"/>
      <c r="QSW37" s="704"/>
      <c r="QSX37" s="704"/>
      <c r="QSY37" s="704"/>
      <c r="QSZ37" s="704"/>
      <c r="QTA37" s="704"/>
      <c r="QTB37" s="704"/>
      <c r="QTC37" s="704"/>
      <c r="QTD37" s="704"/>
      <c r="QTE37" s="704"/>
      <c r="QTF37" s="704"/>
      <c r="QTG37" s="704"/>
      <c r="QTH37" s="704"/>
      <c r="QTI37" s="704"/>
      <c r="QTJ37" s="704"/>
      <c r="QTK37" s="704"/>
      <c r="QTL37" s="704"/>
      <c r="QTM37" s="704"/>
      <c r="QTN37" s="704"/>
      <c r="QTO37" s="704"/>
      <c r="QTP37" s="704"/>
      <c r="QTQ37" s="704"/>
      <c r="QTR37" s="704"/>
      <c r="QTS37" s="704"/>
      <c r="QTT37" s="704"/>
      <c r="QTU37" s="704"/>
      <c r="QTV37" s="704"/>
      <c r="QTW37" s="704"/>
      <c r="QTX37" s="704"/>
      <c r="QTY37" s="704"/>
      <c r="QTZ37" s="704"/>
      <c r="QUA37" s="704"/>
      <c r="QUB37" s="704"/>
      <c r="QUC37" s="704"/>
      <c r="QUD37" s="704"/>
      <c r="QUE37" s="704"/>
      <c r="QUF37" s="704"/>
      <c r="QUG37" s="704"/>
      <c r="QUH37" s="704"/>
      <c r="QUI37" s="704"/>
      <c r="QUJ37" s="704"/>
      <c r="QUK37" s="704"/>
      <c r="QUL37" s="704"/>
      <c r="QUM37" s="704"/>
      <c r="QUN37" s="704"/>
      <c r="QUO37" s="704"/>
      <c r="QUP37" s="704"/>
      <c r="QUQ37" s="704"/>
      <c r="QUR37" s="704"/>
      <c r="QUS37" s="704"/>
      <c r="QUT37" s="704"/>
      <c r="QUU37" s="704"/>
      <c r="QUV37" s="704"/>
      <c r="QUW37" s="704"/>
      <c r="QUX37" s="704"/>
      <c r="QUY37" s="704"/>
      <c r="QUZ37" s="704"/>
      <c r="QVA37" s="704"/>
      <c r="QVB37" s="704"/>
      <c r="QVC37" s="704"/>
      <c r="QVD37" s="704"/>
      <c r="QVE37" s="704"/>
      <c r="QVF37" s="704"/>
      <c r="QVG37" s="704"/>
      <c r="QVH37" s="704"/>
      <c r="QVI37" s="704"/>
      <c r="QVJ37" s="704"/>
      <c r="QVK37" s="704"/>
      <c r="QVL37" s="704"/>
      <c r="QVM37" s="704"/>
      <c r="QVN37" s="704"/>
      <c r="QVO37" s="704"/>
      <c r="QVP37" s="704"/>
      <c r="QVQ37" s="704"/>
      <c r="QVR37" s="704"/>
      <c r="QVS37" s="704"/>
      <c r="QVT37" s="704"/>
      <c r="QVU37" s="704"/>
      <c r="QVV37" s="704"/>
      <c r="QVW37" s="704"/>
      <c r="QVX37" s="704"/>
      <c r="QVY37" s="704"/>
      <c r="QVZ37" s="704"/>
      <c r="QWA37" s="704"/>
      <c r="QWB37" s="704"/>
      <c r="QWC37" s="704"/>
      <c r="QWD37" s="704"/>
      <c r="QWE37" s="704"/>
      <c r="QWF37" s="704"/>
      <c r="QWG37" s="704"/>
      <c r="QWH37" s="704"/>
      <c r="QWI37" s="704"/>
      <c r="QWJ37" s="704"/>
      <c r="QWK37" s="704"/>
      <c r="QWL37" s="704"/>
      <c r="QWM37" s="704"/>
      <c r="QWN37" s="704"/>
      <c r="QWO37" s="704"/>
      <c r="QWP37" s="704"/>
      <c r="QWQ37" s="704"/>
      <c r="QWR37" s="704"/>
      <c r="QWS37" s="704"/>
      <c r="QWT37" s="704"/>
      <c r="QWU37" s="704"/>
      <c r="QWV37" s="704"/>
      <c r="QWW37" s="704"/>
      <c r="QWX37" s="704"/>
      <c r="QWY37" s="704"/>
      <c r="QWZ37" s="704"/>
      <c r="QXA37" s="704"/>
      <c r="QXB37" s="704"/>
      <c r="QXC37" s="704"/>
      <c r="QXD37" s="704"/>
      <c r="QXE37" s="704"/>
      <c r="QXF37" s="704"/>
      <c r="QXG37" s="704"/>
      <c r="QXH37" s="704"/>
      <c r="QXI37" s="704"/>
      <c r="QXJ37" s="704"/>
      <c r="QXK37" s="704"/>
      <c r="QXL37" s="704"/>
      <c r="QXM37" s="704"/>
      <c r="QXN37" s="704"/>
      <c r="QXO37" s="704"/>
      <c r="QXP37" s="704"/>
      <c r="QXQ37" s="704"/>
      <c r="QXR37" s="704"/>
      <c r="QXS37" s="704"/>
      <c r="QXT37" s="704"/>
      <c r="QXU37" s="704"/>
      <c r="QXV37" s="704"/>
      <c r="QXW37" s="704"/>
      <c r="QXX37" s="704"/>
      <c r="QXY37" s="704"/>
      <c r="QXZ37" s="704"/>
      <c r="QYA37" s="704"/>
      <c r="QYB37" s="704"/>
      <c r="QYC37" s="704"/>
      <c r="QYD37" s="704"/>
      <c r="QYE37" s="704"/>
      <c r="QYF37" s="704"/>
      <c r="QYG37" s="704"/>
      <c r="QYH37" s="704"/>
      <c r="QYI37" s="704"/>
      <c r="QYJ37" s="704"/>
      <c r="QYK37" s="704"/>
      <c r="QYL37" s="704"/>
      <c r="QYM37" s="704"/>
      <c r="QYN37" s="704"/>
      <c r="QYO37" s="704"/>
      <c r="QYP37" s="704"/>
      <c r="QYQ37" s="704"/>
      <c r="QYR37" s="704"/>
      <c r="QYS37" s="704"/>
      <c r="QYT37" s="704"/>
      <c r="QYU37" s="704"/>
      <c r="QYV37" s="704"/>
      <c r="QYW37" s="704"/>
      <c r="QYX37" s="704"/>
      <c r="QYY37" s="704"/>
      <c r="QYZ37" s="704"/>
      <c r="QZA37" s="704"/>
      <c r="QZB37" s="704"/>
      <c r="QZC37" s="704"/>
      <c r="QZD37" s="704"/>
      <c r="QZE37" s="704"/>
      <c r="QZF37" s="704"/>
      <c r="QZG37" s="704"/>
      <c r="QZH37" s="704"/>
      <c r="QZI37" s="704"/>
      <c r="QZJ37" s="704"/>
      <c r="QZK37" s="704"/>
      <c r="QZL37" s="704"/>
      <c r="QZM37" s="704"/>
      <c r="QZN37" s="704"/>
      <c r="QZO37" s="704"/>
      <c r="QZP37" s="704"/>
      <c r="QZQ37" s="704"/>
      <c r="QZR37" s="704"/>
      <c r="QZS37" s="704"/>
      <c r="QZT37" s="704"/>
      <c r="QZU37" s="704"/>
      <c r="QZV37" s="704"/>
      <c r="QZW37" s="704"/>
      <c r="QZX37" s="704"/>
      <c r="QZY37" s="704"/>
      <c r="QZZ37" s="704"/>
      <c r="RAA37" s="704"/>
      <c r="RAB37" s="704"/>
      <c r="RAC37" s="704"/>
      <c r="RAD37" s="704"/>
      <c r="RAE37" s="704"/>
      <c r="RAF37" s="704"/>
      <c r="RAG37" s="704"/>
      <c r="RAH37" s="704"/>
      <c r="RAI37" s="704"/>
      <c r="RAJ37" s="704"/>
      <c r="RAK37" s="704"/>
      <c r="RAL37" s="704"/>
      <c r="RAM37" s="704"/>
      <c r="RAN37" s="704"/>
      <c r="RAO37" s="704"/>
      <c r="RAP37" s="704"/>
      <c r="RAQ37" s="704"/>
      <c r="RAR37" s="704"/>
      <c r="RAS37" s="704"/>
      <c r="RAT37" s="704"/>
      <c r="RAU37" s="704"/>
      <c r="RAV37" s="704"/>
      <c r="RAW37" s="704"/>
      <c r="RAX37" s="704"/>
      <c r="RAY37" s="704"/>
      <c r="RAZ37" s="704"/>
      <c r="RBA37" s="704"/>
      <c r="RBB37" s="704"/>
      <c r="RBC37" s="704"/>
      <c r="RBD37" s="704"/>
      <c r="RBE37" s="704"/>
      <c r="RBF37" s="704"/>
      <c r="RBG37" s="704"/>
      <c r="RBH37" s="704"/>
      <c r="RBI37" s="704"/>
      <c r="RBJ37" s="704"/>
      <c r="RBK37" s="704"/>
      <c r="RBL37" s="704"/>
      <c r="RBM37" s="704"/>
      <c r="RBN37" s="704"/>
      <c r="RBO37" s="704"/>
      <c r="RBP37" s="704"/>
      <c r="RBQ37" s="704"/>
      <c r="RBR37" s="704"/>
      <c r="RBS37" s="704"/>
      <c r="RBT37" s="704"/>
      <c r="RBU37" s="704"/>
      <c r="RBV37" s="704"/>
      <c r="RBW37" s="704"/>
      <c r="RBX37" s="704"/>
      <c r="RBY37" s="704"/>
      <c r="RBZ37" s="704"/>
      <c r="RCA37" s="704"/>
      <c r="RCB37" s="704"/>
      <c r="RCC37" s="704"/>
      <c r="RCD37" s="704"/>
      <c r="RCE37" s="704"/>
      <c r="RCF37" s="704"/>
      <c r="RCG37" s="704"/>
      <c r="RCH37" s="704"/>
      <c r="RCI37" s="704"/>
      <c r="RCJ37" s="704"/>
      <c r="RCK37" s="704"/>
      <c r="RCL37" s="704"/>
      <c r="RCM37" s="704"/>
      <c r="RCN37" s="704"/>
      <c r="RCO37" s="704"/>
      <c r="RCP37" s="704"/>
      <c r="RCQ37" s="704"/>
      <c r="RCR37" s="704"/>
      <c r="RCS37" s="704"/>
      <c r="RCT37" s="704"/>
      <c r="RCU37" s="704"/>
      <c r="RCV37" s="704"/>
      <c r="RCW37" s="704"/>
      <c r="RCX37" s="704"/>
      <c r="RCY37" s="704"/>
      <c r="RCZ37" s="704"/>
      <c r="RDA37" s="704"/>
      <c r="RDB37" s="704"/>
      <c r="RDC37" s="704"/>
      <c r="RDD37" s="704"/>
      <c r="RDE37" s="704"/>
      <c r="RDF37" s="704"/>
      <c r="RDG37" s="704"/>
      <c r="RDH37" s="704"/>
      <c r="RDI37" s="704"/>
      <c r="RDJ37" s="704"/>
      <c r="RDK37" s="704"/>
      <c r="RDL37" s="704"/>
      <c r="RDM37" s="704"/>
      <c r="RDN37" s="704"/>
      <c r="RDO37" s="704"/>
      <c r="RDP37" s="704"/>
      <c r="RDQ37" s="704"/>
      <c r="RDR37" s="704"/>
      <c r="RDS37" s="704"/>
      <c r="RDT37" s="704"/>
      <c r="RDU37" s="704"/>
      <c r="RDV37" s="704"/>
      <c r="RDW37" s="704"/>
      <c r="RDX37" s="704"/>
      <c r="RDY37" s="704"/>
      <c r="RDZ37" s="704"/>
      <c r="REA37" s="704"/>
      <c r="REB37" s="704"/>
      <c r="REC37" s="704"/>
      <c r="RED37" s="704"/>
      <c r="REE37" s="704"/>
      <c r="REF37" s="704"/>
      <c r="REG37" s="704"/>
      <c r="REH37" s="704"/>
      <c r="REI37" s="704"/>
      <c r="REJ37" s="704"/>
      <c r="REK37" s="704"/>
      <c r="REL37" s="704"/>
      <c r="REM37" s="704"/>
      <c r="REN37" s="704"/>
      <c r="REO37" s="704"/>
      <c r="REP37" s="704"/>
      <c r="REQ37" s="704"/>
      <c r="RER37" s="704"/>
      <c r="RES37" s="704"/>
      <c r="RET37" s="704"/>
      <c r="REU37" s="704"/>
      <c r="REV37" s="704"/>
      <c r="REW37" s="704"/>
      <c r="REX37" s="704"/>
      <c r="REY37" s="704"/>
      <c r="REZ37" s="704"/>
      <c r="RFA37" s="704"/>
      <c r="RFB37" s="704"/>
      <c r="RFC37" s="704"/>
      <c r="RFD37" s="704"/>
      <c r="RFE37" s="704"/>
      <c r="RFF37" s="704"/>
      <c r="RFG37" s="704"/>
      <c r="RFH37" s="704"/>
      <c r="RFI37" s="704"/>
      <c r="RFJ37" s="704"/>
      <c r="RFK37" s="704"/>
      <c r="RFL37" s="704"/>
      <c r="RFM37" s="704"/>
      <c r="RFN37" s="704"/>
      <c r="RFO37" s="704"/>
      <c r="RFP37" s="704"/>
      <c r="RFQ37" s="704"/>
      <c r="RFR37" s="704"/>
      <c r="RFS37" s="704"/>
      <c r="RFT37" s="704"/>
      <c r="RFU37" s="704"/>
      <c r="RFV37" s="704"/>
      <c r="RFW37" s="704"/>
      <c r="RFX37" s="704"/>
      <c r="RFY37" s="704"/>
      <c r="RFZ37" s="704"/>
      <c r="RGA37" s="704"/>
      <c r="RGB37" s="704"/>
      <c r="RGC37" s="704"/>
      <c r="RGD37" s="704"/>
      <c r="RGE37" s="704"/>
      <c r="RGF37" s="704"/>
      <c r="RGG37" s="704"/>
      <c r="RGH37" s="704"/>
      <c r="RGI37" s="704"/>
      <c r="RGJ37" s="704"/>
      <c r="RGK37" s="704"/>
      <c r="RGL37" s="704"/>
      <c r="RGM37" s="704"/>
      <c r="RGN37" s="704"/>
      <c r="RGO37" s="704"/>
      <c r="RGP37" s="704"/>
      <c r="RGQ37" s="704"/>
      <c r="RGR37" s="704"/>
      <c r="RGS37" s="704"/>
      <c r="RGT37" s="704"/>
      <c r="RGU37" s="704"/>
      <c r="RGV37" s="704"/>
      <c r="RGW37" s="704"/>
      <c r="RGX37" s="704"/>
      <c r="RGY37" s="704"/>
      <c r="RGZ37" s="704"/>
      <c r="RHA37" s="704"/>
      <c r="RHB37" s="704"/>
      <c r="RHC37" s="704"/>
      <c r="RHD37" s="704"/>
      <c r="RHE37" s="704"/>
      <c r="RHF37" s="704"/>
      <c r="RHG37" s="704"/>
      <c r="RHH37" s="704"/>
      <c r="RHI37" s="704"/>
      <c r="RHJ37" s="704"/>
      <c r="RHK37" s="704"/>
      <c r="RHL37" s="704"/>
      <c r="RHM37" s="704"/>
      <c r="RHN37" s="704"/>
      <c r="RHO37" s="704"/>
      <c r="RHP37" s="704"/>
      <c r="RHQ37" s="704"/>
      <c r="RHR37" s="704"/>
      <c r="RHS37" s="704"/>
      <c r="RHT37" s="704"/>
      <c r="RHU37" s="704"/>
      <c r="RHV37" s="704"/>
      <c r="RHW37" s="704"/>
      <c r="RHX37" s="704"/>
      <c r="RHY37" s="704"/>
      <c r="RHZ37" s="704"/>
      <c r="RIA37" s="704"/>
      <c r="RIB37" s="704"/>
      <c r="RIC37" s="704"/>
      <c r="RID37" s="704"/>
      <c r="RIE37" s="704"/>
      <c r="RIF37" s="704"/>
      <c r="RIG37" s="704"/>
      <c r="RIH37" s="704"/>
      <c r="RII37" s="704"/>
      <c r="RIJ37" s="704"/>
      <c r="RIK37" s="704"/>
      <c r="RIL37" s="704"/>
      <c r="RIM37" s="704"/>
      <c r="RIN37" s="704"/>
      <c r="RIO37" s="704"/>
      <c r="RIP37" s="704"/>
      <c r="RIQ37" s="704"/>
      <c r="RIR37" s="704"/>
      <c r="RIS37" s="704"/>
      <c r="RIT37" s="704"/>
      <c r="RIU37" s="704"/>
      <c r="RIV37" s="704"/>
      <c r="RIW37" s="704"/>
      <c r="RIX37" s="704"/>
      <c r="RIY37" s="704"/>
      <c r="RIZ37" s="704"/>
      <c r="RJA37" s="704"/>
      <c r="RJB37" s="704"/>
      <c r="RJC37" s="704"/>
      <c r="RJD37" s="704"/>
      <c r="RJE37" s="704"/>
      <c r="RJF37" s="704"/>
      <c r="RJG37" s="704"/>
      <c r="RJH37" s="704"/>
      <c r="RJI37" s="704"/>
      <c r="RJJ37" s="704"/>
      <c r="RJK37" s="704"/>
      <c r="RJL37" s="704"/>
      <c r="RJM37" s="704"/>
      <c r="RJN37" s="704"/>
      <c r="RJO37" s="704"/>
      <c r="RJP37" s="704"/>
      <c r="RJQ37" s="704"/>
      <c r="RJR37" s="704"/>
      <c r="RJS37" s="704"/>
      <c r="RJT37" s="704"/>
      <c r="RJU37" s="704"/>
      <c r="RJV37" s="704"/>
      <c r="RJW37" s="704"/>
      <c r="RJX37" s="704"/>
      <c r="RJY37" s="704"/>
      <c r="RJZ37" s="704"/>
      <c r="RKA37" s="704"/>
      <c r="RKB37" s="704"/>
      <c r="RKC37" s="704"/>
      <c r="RKD37" s="704"/>
      <c r="RKE37" s="704"/>
      <c r="RKF37" s="704"/>
      <c r="RKG37" s="704"/>
      <c r="RKH37" s="704"/>
      <c r="RKI37" s="704"/>
      <c r="RKJ37" s="704"/>
      <c r="RKK37" s="704"/>
      <c r="RKL37" s="704"/>
      <c r="RKM37" s="704"/>
      <c r="RKN37" s="704"/>
      <c r="RKO37" s="704"/>
      <c r="RKP37" s="704"/>
      <c r="RKQ37" s="704"/>
      <c r="RKR37" s="704"/>
      <c r="RKS37" s="704"/>
      <c r="RKT37" s="704"/>
      <c r="RKU37" s="704"/>
      <c r="RKV37" s="704"/>
      <c r="RKW37" s="704"/>
      <c r="RKX37" s="704"/>
      <c r="RKY37" s="704"/>
      <c r="RKZ37" s="704"/>
      <c r="RLA37" s="704"/>
      <c r="RLB37" s="704"/>
      <c r="RLC37" s="704"/>
      <c r="RLD37" s="704"/>
      <c r="RLE37" s="704"/>
      <c r="RLF37" s="704"/>
      <c r="RLG37" s="704"/>
      <c r="RLH37" s="704"/>
      <c r="RLI37" s="704"/>
      <c r="RLJ37" s="704"/>
      <c r="RLK37" s="704"/>
      <c r="RLL37" s="704"/>
      <c r="RLM37" s="704"/>
      <c r="RLN37" s="704"/>
      <c r="RLO37" s="704"/>
      <c r="RLP37" s="704"/>
      <c r="RLQ37" s="704"/>
      <c r="RLR37" s="704"/>
      <c r="RLS37" s="704"/>
      <c r="RLT37" s="704"/>
      <c r="RLU37" s="704"/>
      <c r="RLV37" s="704"/>
      <c r="RLW37" s="704"/>
      <c r="RLX37" s="704"/>
      <c r="RLY37" s="704"/>
      <c r="RLZ37" s="704"/>
      <c r="RMA37" s="704"/>
      <c r="RMB37" s="704"/>
      <c r="RMC37" s="704"/>
      <c r="RMD37" s="704"/>
      <c r="RME37" s="704"/>
      <c r="RMF37" s="704"/>
      <c r="RMG37" s="704"/>
      <c r="RMH37" s="704"/>
      <c r="RMI37" s="704"/>
      <c r="RMJ37" s="704"/>
      <c r="RMK37" s="704"/>
      <c r="RML37" s="704"/>
      <c r="RMM37" s="704"/>
      <c r="RMN37" s="704"/>
      <c r="RMO37" s="704"/>
      <c r="RMP37" s="704"/>
      <c r="RMQ37" s="704"/>
      <c r="RMR37" s="704"/>
      <c r="RMS37" s="704"/>
      <c r="RMT37" s="704"/>
      <c r="RMU37" s="704"/>
      <c r="RMV37" s="704"/>
      <c r="RMW37" s="704"/>
      <c r="RMX37" s="704"/>
      <c r="RMY37" s="704"/>
      <c r="RMZ37" s="704"/>
      <c r="RNA37" s="704"/>
      <c r="RNB37" s="704"/>
      <c r="RNC37" s="704"/>
      <c r="RND37" s="704"/>
      <c r="RNE37" s="704"/>
      <c r="RNF37" s="704"/>
      <c r="RNG37" s="704"/>
      <c r="RNH37" s="704"/>
      <c r="RNI37" s="704"/>
      <c r="RNJ37" s="704"/>
      <c r="RNK37" s="704"/>
      <c r="RNL37" s="704"/>
      <c r="RNM37" s="704"/>
      <c r="RNN37" s="704"/>
      <c r="RNO37" s="704"/>
      <c r="RNP37" s="704"/>
      <c r="RNQ37" s="704"/>
      <c r="RNR37" s="704"/>
      <c r="RNS37" s="704"/>
      <c r="RNT37" s="704"/>
      <c r="RNU37" s="704"/>
      <c r="RNV37" s="704"/>
      <c r="RNW37" s="704"/>
      <c r="RNX37" s="704"/>
      <c r="RNY37" s="704"/>
      <c r="RNZ37" s="704"/>
      <c r="ROA37" s="704"/>
      <c r="ROB37" s="704"/>
      <c r="ROC37" s="704"/>
      <c r="ROD37" s="704"/>
      <c r="ROE37" s="704"/>
      <c r="ROF37" s="704"/>
      <c r="ROG37" s="704"/>
      <c r="ROH37" s="704"/>
      <c r="ROI37" s="704"/>
      <c r="ROJ37" s="704"/>
      <c r="ROK37" s="704"/>
      <c r="ROL37" s="704"/>
      <c r="ROM37" s="704"/>
      <c r="RON37" s="704"/>
      <c r="ROO37" s="704"/>
      <c r="ROP37" s="704"/>
      <c r="ROQ37" s="704"/>
      <c r="ROR37" s="704"/>
      <c r="ROS37" s="704"/>
      <c r="ROT37" s="704"/>
      <c r="ROU37" s="704"/>
      <c r="ROV37" s="704"/>
      <c r="ROW37" s="704"/>
      <c r="ROX37" s="704"/>
      <c r="ROY37" s="704"/>
      <c r="ROZ37" s="704"/>
      <c r="RPA37" s="704"/>
      <c r="RPB37" s="704"/>
      <c r="RPC37" s="704"/>
      <c r="RPD37" s="704"/>
      <c r="RPE37" s="704"/>
      <c r="RPF37" s="704"/>
      <c r="RPG37" s="704"/>
      <c r="RPH37" s="704"/>
      <c r="RPI37" s="704"/>
      <c r="RPJ37" s="704"/>
      <c r="RPK37" s="704"/>
      <c r="RPL37" s="704"/>
      <c r="RPM37" s="704"/>
      <c r="RPN37" s="704"/>
      <c r="RPO37" s="704"/>
      <c r="RPP37" s="704"/>
      <c r="RPQ37" s="704"/>
      <c r="RPR37" s="704"/>
      <c r="RPS37" s="704"/>
      <c r="RPT37" s="704"/>
      <c r="RPU37" s="704"/>
      <c r="RPV37" s="704"/>
      <c r="RPW37" s="704"/>
      <c r="RPX37" s="704"/>
      <c r="RPY37" s="704"/>
      <c r="RPZ37" s="704"/>
      <c r="RQA37" s="704"/>
      <c r="RQB37" s="704"/>
      <c r="RQC37" s="704"/>
      <c r="RQD37" s="704"/>
      <c r="RQE37" s="704"/>
      <c r="RQF37" s="704"/>
      <c r="RQG37" s="704"/>
      <c r="RQH37" s="704"/>
      <c r="RQI37" s="704"/>
      <c r="RQJ37" s="704"/>
      <c r="RQK37" s="704"/>
      <c r="RQL37" s="704"/>
      <c r="RQM37" s="704"/>
      <c r="RQN37" s="704"/>
      <c r="RQO37" s="704"/>
      <c r="RQP37" s="704"/>
      <c r="RQQ37" s="704"/>
      <c r="RQR37" s="704"/>
      <c r="RQS37" s="704"/>
      <c r="RQT37" s="704"/>
      <c r="RQU37" s="704"/>
      <c r="RQV37" s="704"/>
      <c r="RQW37" s="704"/>
      <c r="RQX37" s="704"/>
      <c r="RQY37" s="704"/>
      <c r="RQZ37" s="704"/>
      <c r="RRA37" s="704"/>
      <c r="RRB37" s="704"/>
      <c r="RRC37" s="704"/>
      <c r="RRD37" s="704"/>
      <c r="RRE37" s="704"/>
      <c r="RRF37" s="704"/>
      <c r="RRG37" s="704"/>
      <c r="RRH37" s="704"/>
      <c r="RRI37" s="704"/>
      <c r="RRJ37" s="704"/>
      <c r="RRK37" s="704"/>
      <c r="RRL37" s="704"/>
      <c r="RRM37" s="704"/>
      <c r="RRN37" s="704"/>
      <c r="RRO37" s="704"/>
      <c r="RRP37" s="704"/>
      <c r="RRQ37" s="704"/>
      <c r="RRR37" s="704"/>
      <c r="RRS37" s="704"/>
      <c r="RRT37" s="704"/>
      <c r="RRU37" s="704"/>
      <c r="RRV37" s="704"/>
      <c r="RRW37" s="704"/>
      <c r="RRX37" s="704"/>
      <c r="RRY37" s="704"/>
      <c r="RRZ37" s="704"/>
      <c r="RSA37" s="704"/>
      <c r="RSB37" s="704"/>
      <c r="RSC37" s="704"/>
      <c r="RSD37" s="704"/>
      <c r="RSE37" s="704"/>
      <c r="RSF37" s="704"/>
      <c r="RSG37" s="704"/>
      <c r="RSH37" s="704"/>
      <c r="RSI37" s="704"/>
      <c r="RSJ37" s="704"/>
      <c r="RSK37" s="704"/>
      <c r="RSL37" s="704"/>
      <c r="RSM37" s="704"/>
      <c r="RSN37" s="704"/>
      <c r="RSO37" s="704"/>
      <c r="RSP37" s="704"/>
      <c r="RSQ37" s="704"/>
      <c r="RSR37" s="704"/>
      <c r="RSS37" s="704"/>
      <c r="RST37" s="704"/>
      <c r="RSU37" s="704"/>
      <c r="RSV37" s="704"/>
      <c r="RSW37" s="704"/>
      <c r="RSX37" s="704"/>
      <c r="RSY37" s="704"/>
      <c r="RSZ37" s="704"/>
      <c r="RTA37" s="704"/>
      <c r="RTB37" s="704"/>
      <c r="RTC37" s="704"/>
      <c r="RTD37" s="704"/>
      <c r="RTE37" s="704"/>
      <c r="RTF37" s="704"/>
      <c r="RTG37" s="704"/>
      <c r="RTH37" s="704"/>
      <c r="RTI37" s="704"/>
      <c r="RTJ37" s="704"/>
      <c r="RTK37" s="704"/>
      <c r="RTL37" s="704"/>
      <c r="RTM37" s="704"/>
      <c r="RTN37" s="704"/>
      <c r="RTO37" s="704"/>
      <c r="RTP37" s="704"/>
      <c r="RTQ37" s="704"/>
      <c r="RTR37" s="704"/>
      <c r="RTS37" s="704"/>
      <c r="RTT37" s="704"/>
      <c r="RTU37" s="704"/>
      <c r="RTV37" s="704"/>
      <c r="RTW37" s="704"/>
      <c r="RTX37" s="704"/>
      <c r="RTY37" s="704"/>
      <c r="RTZ37" s="704"/>
      <c r="RUA37" s="704"/>
      <c r="RUB37" s="704"/>
      <c r="RUC37" s="704"/>
      <c r="RUD37" s="704"/>
      <c r="RUE37" s="704"/>
      <c r="RUF37" s="704"/>
      <c r="RUG37" s="704"/>
      <c r="RUH37" s="704"/>
      <c r="RUI37" s="704"/>
      <c r="RUJ37" s="704"/>
      <c r="RUK37" s="704"/>
      <c r="RUL37" s="704"/>
      <c r="RUM37" s="704"/>
      <c r="RUN37" s="704"/>
      <c r="RUO37" s="704"/>
      <c r="RUP37" s="704"/>
      <c r="RUQ37" s="704"/>
      <c r="RUR37" s="704"/>
      <c r="RUS37" s="704"/>
      <c r="RUT37" s="704"/>
      <c r="RUU37" s="704"/>
      <c r="RUV37" s="704"/>
      <c r="RUW37" s="704"/>
      <c r="RUX37" s="704"/>
      <c r="RUY37" s="704"/>
      <c r="RUZ37" s="704"/>
      <c r="RVA37" s="704"/>
      <c r="RVB37" s="704"/>
      <c r="RVC37" s="704"/>
      <c r="RVD37" s="704"/>
      <c r="RVE37" s="704"/>
      <c r="RVF37" s="704"/>
      <c r="RVG37" s="704"/>
      <c r="RVH37" s="704"/>
      <c r="RVI37" s="704"/>
      <c r="RVJ37" s="704"/>
      <c r="RVK37" s="704"/>
      <c r="RVL37" s="704"/>
      <c r="RVM37" s="704"/>
      <c r="RVN37" s="704"/>
      <c r="RVO37" s="704"/>
      <c r="RVP37" s="704"/>
      <c r="RVQ37" s="704"/>
      <c r="RVR37" s="704"/>
      <c r="RVS37" s="704"/>
      <c r="RVT37" s="704"/>
      <c r="RVU37" s="704"/>
      <c r="RVV37" s="704"/>
      <c r="RVW37" s="704"/>
      <c r="RVX37" s="704"/>
      <c r="RVY37" s="704"/>
      <c r="RVZ37" s="704"/>
      <c r="RWA37" s="704"/>
      <c r="RWB37" s="704"/>
      <c r="RWC37" s="704"/>
      <c r="RWD37" s="704"/>
      <c r="RWE37" s="704"/>
      <c r="RWF37" s="704"/>
      <c r="RWG37" s="704"/>
      <c r="RWH37" s="704"/>
      <c r="RWI37" s="704"/>
      <c r="RWJ37" s="704"/>
      <c r="RWK37" s="704"/>
      <c r="RWL37" s="704"/>
      <c r="RWM37" s="704"/>
      <c r="RWN37" s="704"/>
      <c r="RWO37" s="704"/>
      <c r="RWP37" s="704"/>
      <c r="RWQ37" s="704"/>
      <c r="RWR37" s="704"/>
      <c r="RWS37" s="704"/>
      <c r="RWT37" s="704"/>
      <c r="RWU37" s="704"/>
      <c r="RWV37" s="704"/>
      <c r="RWW37" s="704"/>
      <c r="RWX37" s="704"/>
      <c r="RWY37" s="704"/>
      <c r="RWZ37" s="704"/>
      <c r="RXA37" s="704"/>
      <c r="RXB37" s="704"/>
      <c r="RXC37" s="704"/>
      <c r="RXD37" s="704"/>
      <c r="RXE37" s="704"/>
      <c r="RXF37" s="704"/>
      <c r="RXG37" s="704"/>
      <c r="RXH37" s="704"/>
      <c r="RXI37" s="704"/>
      <c r="RXJ37" s="704"/>
      <c r="RXK37" s="704"/>
      <c r="RXL37" s="704"/>
      <c r="RXM37" s="704"/>
      <c r="RXN37" s="704"/>
      <c r="RXO37" s="704"/>
      <c r="RXP37" s="704"/>
      <c r="RXQ37" s="704"/>
      <c r="RXR37" s="704"/>
      <c r="RXS37" s="704"/>
      <c r="RXT37" s="704"/>
      <c r="RXU37" s="704"/>
      <c r="RXV37" s="704"/>
      <c r="RXW37" s="704"/>
      <c r="RXX37" s="704"/>
      <c r="RXY37" s="704"/>
      <c r="RXZ37" s="704"/>
      <c r="RYA37" s="704"/>
      <c r="RYB37" s="704"/>
      <c r="RYC37" s="704"/>
      <c r="RYD37" s="704"/>
      <c r="RYE37" s="704"/>
      <c r="RYF37" s="704"/>
      <c r="RYG37" s="704"/>
      <c r="RYH37" s="704"/>
      <c r="RYI37" s="704"/>
      <c r="RYJ37" s="704"/>
      <c r="RYK37" s="704"/>
      <c r="RYL37" s="704"/>
      <c r="RYM37" s="704"/>
      <c r="RYN37" s="704"/>
      <c r="RYO37" s="704"/>
      <c r="RYP37" s="704"/>
      <c r="RYQ37" s="704"/>
      <c r="RYR37" s="704"/>
      <c r="RYS37" s="704"/>
      <c r="RYT37" s="704"/>
      <c r="RYU37" s="704"/>
      <c r="RYV37" s="704"/>
      <c r="RYW37" s="704"/>
      <c r="RYX37" s="704"/>
      <c r="RYY37" s="704"/>
      <c r="RYZ37" s="704"/>
      <c r="RZA37" s="704"/>
      <c r="RZB37" s="704"/>
      <c r="RZC37" s="704"/>
      <c r="RZD37" s="704"/>
      <c r="RZE37" s="704"/>
      <c r="RZF37" s="704"/>
      <c r="RZG37" s="704"/>
      <c r="RZH37" s="704"/>
      <c r="RZI37" s="704"/>
      <c r="RZJ37" s="704"/>
      <c r="RZK37" s="704"/>
      <c r="RZL37" s="704"/>
      <c r="RZM37" s="704"/>
      <c r="RZN37" s="704"/>
      <c r="RZO37" s="704"/>
      <c r="RZP37" s="704"/>
      <c r="RZQ37" s="704"/>
      <c r="RZR37" s="704"/>
      <c r="RZS37" s="704"/>
      <c r="RZT37" s="704"/>
      <c r="RZU37" s="704"/>
      <c r="RZV37" s="704"/>
      <c r="RZW37" s="704"/>
      <c r="RZX37" s="704"/>
      <c r="RZY37" s="704"/>
      <c r="RZZ37" s="704"/>
      <c r="SAA37" s="704"/>
      <c r="SAB37" s="704"/>
      <c r="SAC37" s="704"/>
      <c r="SAD37" s="704"/>
      <c r="SAE37" s="704"/>
      <c r="SAF37" s="704"/>
      <c r="SAG37" s="704"/>
      <c r="SAH37" s="704"/>
      <c r="SAI37" s="704"/>
      <c r="SAJ37" s="704"/>
      <c r="SAK37" s="704"/>
      <c r="SAL37" s="704"/>
      <c r="SAM37" s="704"/>
      <c r="SAN37" s="704"/>
      <c r="SAO37" s="704"/>
      <c r="SAP37" s="704"/>
      <c r="SAQ37" s="704"/>
      <c r="SAR37" s="704"/>
      <c r="SAS37" s="704"/>
      <c r="SAT37" s="704"/>
      <c r="SAU37" s="704"/>
      <c r="SAV37" s="704"/>
      <c r="SAW37" s="704"/>
      <c r="SAX37" s="704"/>
      <c r="SAY37" s="704"/>
      <c r="SAZ37" s="704"/>
      <c r="SBA37" s="704"/>
      <c r="SBB37" s="704"/>
      <c r="SBC37" s="704"/>
      <c r="SBD37" s="704"/>
      <c r="SBE37" s="704"/>
      <c r="SBF37" s="704"/>
      <c r="SBG37" s="704"/>
      <c r="SBH37" s="704"/>
      <c r="SBI37" s="704"/>
      <c r="SBJ37" s="704"/>
      <c r="SBK37" s="704"/>
      <c r="SBL37" s="704"/>
      <c r="SBM37" s="704"/>
      <c r="SBN37" s="704"/>
      <c r="SBO37" s="704"/>
      <c r="SBP37" s="704"/>
      <c r="SBQ37" s="704"/>
      <c r="SBR37" s="704"/>
      <c r="SBS37" s="704"/>
      <c r="SBT37" s="704"/>
      <c r="SBU37" s="704"/>
      <c r="SBV37" s="704"/>
      <c r="SBW37" s="704"/>
      <c r="SBX37" s="704"/>
      <c r="SBY37" s="704"/>
      <c r="SBZ37" s="704"/>
      <c r="SCA37" s="704"/>
      <c r="SCB37" s="704"/>
      <c r="SCC37" s="704"/>
      <c r="SCD37" s="704"/>
      <c r="SCE37" s="704"/>
      <c r="SCF37" s="704"/>
      <c r="SCG37" s="704"/>
      <c r="SCH37" s="704"/>
      <c r="SCI37" s="704"/>
      <c r="SCJ37" s="704"/>
      <c r="SCK37" s="704"/>
      <c r="SCL37" s="704"/>
      <c r="SCM37" s="704"/>
      <c r="SCN37" s="704"/>
      <c r="SCO37" s="704"/>
      <c r="SCP37" s="704"/>
      <c r="SCQ37" s="704"/>
      <c r="SCR37" s="704"/>
      <c r="SCS37" s="704"/>
      <c r="SCT37" s="704"/>
      <c r="SCU37" s="704"/>
      <c r="SCV37" s="704"/>
      <c r="SCW37" s="704"/>
      <c r="SCX37" s="704"/>
      <c r="SCY37" s="704"/>
      <c r="SCZ37" s="704"/>
      <c r="SDA37" s="704"/>
      <c r="SDB37" s="704"/>
      <c r="SDC37" s="704"/>
      <c r="SDD37" s="704"/>
      <c r="SDE37" s="704"/>
      <c r="SDF37" s="704"/>
      <c r="SDG37" s="704"/>
      <c r="SDH37" s="704"/>
      <c r="SDI37" s="704"/>
      <c r="SDJ37" s="704"/>
      <c r="SDK37" s="704"/>
      <c r="SDL37" s="704"/>
      <c r="SDM37" s="704"/>
      <c r="SDN37" s="704"/>
      <c r="SDO37" s="704"/>
      <c r="SDP37" s="704"/>
      <c r="SDQ37" s="704"/>
      <c r="SDR37" s="704"/>
      <c r="SDS37" s="704"/>
      <c r="SDT37" s="704"/>
      <c r="SDU37" s="704"/>
      <c r="SDV37" s="704"/>
      <c r="SDW37" s="704"/>
      <c r="SDX37" s="704"/>
      <c r="SDY37" s="704"/>
      <c r="SDZ37" s="704"/>
      <c r="SEA37" s="704"/>
      <c r="SEB37" s="704"/>
      <c r="SEC37" s="704"/>
      <c r="SED37" s="704"/>
      <c r="SEE37" s="704"/>
      <c r="SEF37" s="704"/>
      <c r="SEG37" s="704"/>
      <c r="SEH37" s="704"/>
      <c r="SEI37" s="704"/>
      <c r="SEJ37" s="704"/>
      <c r="SEK37" s="704"/>
      <c r="SEL37" s="704"/>
      <c r="SEM37" s="704"/>
      <c r="SEN37" s="704"/>
      <c r="SEO37" s="704"/>
      <c r="SEP37" s="704"/>
      <c r="SEQ37" s="704"/>
      <c r="SER37" s="704"/>
      <c r="SES37" s="704"/>
      <c r="SET37" s="704"/>
      <c r="SEU37" s="704"/>
      <c r="SEV37" s="704"/>
      <c r="SEW37" s="704"/>
      <c r="SEX37" s="704"/>
      <c r="SEY37" s="704"/>
      <c r="SEZ37" s="704"/>
      <c r="SFA37" s="704"/>
      <c r="SFB37" s="704"/>
      <c r="SFC37" s="704"/>
      <c r="SFD37" s="704"/>
      <c r="SFE37" s="704"/>
      <c r="SFF37" s="704"/>
      <c r="SFG37" s="704"/>
      <c r="SFH37" s="704"/>
      <c r="SFI37" s="704"/>
      <c r="SFJ37" s="704"/>
      <c r="SFK37" s="704"/>
      <c r="SFL37" s="704"/>
      <c r="SFM37" s="704"/>
      <c r="SFN37" s="704"/>
      <c r="SFO37" s="704"/>
      <c r="SFP37" s="704"/>
      <c r="SFQ37" s="704"/>
      <c r="SFR37" s="704"/>
      <c r="SFS37" s="704"/>
      <c r="SFT37" s="704"/>
      <c r="SFU37" s="704"/>
      <c r="SFV37" s="704"/>
      <c r="SFW37" s="704"/>
      <c r="SFX37" s="704"/>
      <c r="SFY37" s="704"/>
      <c r="SFZ37" s="704"/>
      <c r="SGA37" s="704"/>
      <c r="SGB37" s="704"/>
      <c r="SGC37" s="704"/>
      <c r="SGD37" s="704"/>
      <c r="SGE37" s="704"/>
      <c r="SGF37" s="704"/>
      <c r="SGG37" s="704"/>
      <c r="SGH37" s="704"/>
      <c r="SGI37" s="704"/>
      <c r="SGJ37" s="704"/>
      <c r="SGK37" s="704"/>
      <c r="SGL37" s="704"/>
      <c r="SGM37" s="704"/>
      <c r="SGN37" s="704"/>
      <c r="SGO37" s="704"/>
      <c r="SGP37" s="704"/>
      <c r="SGQ37" s="704"/>
      <c r="SGR37" s="704"/>
      <c r="SGS37" s="704"/>
      <c r="SGT37" s="704"/>
      <c r="SGU37" s="704"/>
      <c r="SGV37" s="704"/>
      <c r="SGW37" s="704"/>
      <c r="SGX37" s="704"/>
      <c r="SGY37" s="704"/>
      <c r="SGZ37" s="704"/>
      <c r="SHA37" s="704"/>
      <c r="SHB37" s="704"/>
      <c r="SHC37" s="704"/>
      <c r="SHD37" s="704"/>
      <c r="SHE37" s="704"/>
      <c r="SHF37" s="704"/>
      <c r="SHG37" s="704"/>
      <c r="SHH37" s="704"/>
      <c r="SHI37" s="704"/>
      <c r="SHJ37" s="704"/>
      <c r="SHK37" s="704"/>
      <c r="SHL37" s="704"/>
      <c r="SHM37" s="704"/>
      <c r="SHN37" s="704"/>
      <c r="SHO37" s="704"/>
      <c r="SHP37" s="704"/>
      <c r="SHQ37" s="704"/>
      <c r="SHR37" s="704"/>
      <c r="SHS37" s="704"/>
      <c r="SHT37" s="704"/>
      <c r="SHU37" s="704"/>
      <c r="SHV37" s="704"/>
      <c r="SHW37" s="704"/>
      <c r="SHX37" s="704"/>
      <c r="SHY37" s="704"/>
      <c r="SHZ37" s="704"/>
      <c r="SIA37" s="704"/>
      <c r="SIB37" s="704"/>
      <c r="SIC37" s="704"/>
      <c r="SID37" s="704"/>
      <c r="SIE37" s="704"/>
      <c r="SIF37" s="704"/>
      <c r="SIG37" s="704"/>
      <c r="SIH37" s="704"/>
      <c r="SII37" s="704"/>
      <c r="SIJ37" s="704"/>
      <c r="SIK37" s="704"/>
      <c r="SIL37" s="704"/>
      <c r="SIM37" s="704"/>
      <c r="SIN37" s="704"/>
      <c r="SIO37" s="704"/>
      <c r="SIP37" s="704"/>
      <c r="SIQ37" s="704"/>
      <c r="SIR37" s="704"/>
      <c r="SIS37" s="704"/>
      <c r="SIT37" s="704"/>
      <c r="SIU37" s="704"/>
      <c r="SIV37" s="704"/>
      <c r="SIW37" s="704"/>
      <c r="SIX37" s="704"/>
      <c r="SIY37" s="704"/>
      <c r="SIZ37" s="704"/>
      <c r="SJA37" s="704"/>
      <c r="SJB37" s="704"/>
      <c r="SJC37" s="704"/>
      <c r="SJD37" s="704"/>
      <c r="SJE37" s="704"/>
      <c r="SJF37" s="704"/>
      <c r="SJG37" s="704"/>
      <c r="SJH37" s="704"/>
      <c r="SJI37" s="704"/>
      <c r="SJJ37" s="704"/>
      <c r="SJK37" s="704"/>
      <c r="SJL37" s="704"/>
      <c r="SJM37" s="704"/>
      <c r="SJN37" s="704"/>
      <c r="SJO37" s="704"/>
      <c r="SJP37" s="704"/>
      <c r="SJQ37" s="704"/>
      <c r="SJR37" s="704"/>
      <c r="SJS37" s="704"/>
      <c r="SJT37" s="704"/>
      <c r="SJU37" s="704"/>
      <c r="SJV37" s="704"/>
      <c r="SJW37" s="704"/>
      <c r="SJX37" s="704"/>
      <c r="SJY37" s="704"/>
      <c r="SJZ37" s="704"/>
      <c r="SKA37" s="704"/>
      <c r="SKB37" s="704"/>
      <c r="SKC37" s="704"/>
      <c r="SKD37" s="704"/>
      <c r="SKE37" s="704"/>
      <c r="SKF37" s="704"/>
      <c r="SKG37" s="704"/>
      <c r="SKH37" s="704"/>
      <c r="SKI37" s="704"/>
      <c r="SKJ37" s="704"/>
      <c r="SKK37" s="704"/>
      <c r="SKL37" s="704"/>
      <c r="SKM37" s="704"/>
      <c r="SKN37" s="704"/>
      <c r="SKO37" s="704"/>
      <c r="SKP37" s="704"/>
      <c r="SKQ37" s="704"/>
      <c r="SKR37" s="704"/>
      <c r="SKS37" s="704"/>
      <c r="SKT37" s="704"/>
      <c r="SKU37" s="704"/>
      <c r="SKV37" s="704"/>
      <c r="SKW37" s="704"/>
      <c r="SKX37" s="704"/>
      <c r="SKY37" s="704"/>
      <c r="SKZ37" s="704"/>
      <c r="SLA37" s="704"/>
      <c r="SLB37" s="704"/>
      <c r="SLC37" s="704"/>
      <c r="SLD37" s="704"/>
      <c r="SLE37" s="704"/>
      <c r="SLF37" s="704"/>
      <c r="SLG37" s="704"/>
      <c r="SLH37" s="704"/>
      <c r="SLI37" s="704"/>
      <c r="SLJ37" s="704"/>
      <c r="SLK37" s="704"/>
      <c r="SLL37" s="704"/>
      <c r="SLM37" s="704"/>
      <c r="SLN37" s="704"/>
      <c r="SLO37" s="704"/>
      <c r="SLP37" s="704"/>
      <c r="SLQ37" s="704"/>
      <c r="SLR37" s="704"/>
      <c r="SLS37" s="704"/>
      <c r="SLT37" s="704"/>
      <c r="SLU37" s="704"/>
      <c r="SLV37" s="704"/>
      <c r="SLW37" s="704"/>
      <c r="SLX37" s="704"/>
      <c r="SLY37" s="704"/>
      <c r="SLZ37" s="704"/>
      <c r="SMA37" s="704"/>
      <c r="SMB37" s="704"/>
      <c r="SMC37" s="704"/>
      <c r="SMD37" s="704"/>
      <c r="SME37" s="704"/>
      <c r="SMF37" s="704"/>
      <c r="SMG37" s="704"/>
      <c r="SMH37" s="704"/>
      <c r="SMI37" s="704"/>
      <c r="SMJ37" s="704"/>
      <c r="SMK37" s="704"/>
      <c r="SML37" s="704"/>
      <c r="SMM37" s="704"/>
      <c r="SMN37" s="704"/>
      <c r="SMO37" s="704"/>
      <c r="SMP37" s="704"/>
      <c r="SMQ37" s="704"/>
      <c r="SMR37" s="704"/>
      <c r="SMS37" s="704"/>
      <c r="SMT37" s="704"/>
      <c r="SMU37" s="704"/>
      <c r="SMV37" s="704"/>
      <c r="SMW37" s="704"/>
      <c r="SMX37" s="704"/>
      <c r="SMY37" s="704"/>
      <c r="SMZ37" s="704"/>
      <c r="SNA37" s="704"/>
      <c r="SNB37" s="704"/>
      <c r="SNC37" s="704"/>
      <c r="SND37" s="704"/>
      <c r="SNE37" s="704"/>
      <c r="SNF37" s="704"/>
      <c r="SNG37" s="704"/>
      <c r="SNH37" s="704"/>
      <c r="SNI37" s="704"/>
      <c r="SNJ37" s="704"/>
      <c r="SNK37" s="704"/>
      <c r="SNL37" s="704"/>
      <c r="SNM37" s="704"/>
      <c r="SNN37" s="704"/>
      <c r="SNO37" s="704"/>
      <c r="SNP37" s="704"/>
      <c r="SNQ37" s="704"/>
      <c r="SNR37" s="704"/>
      <c r="SNS37" s="704"/>
      <c r="SNT37" s="704"/>
      <c r="SNU37" s="704"/>
      <c r="SNV37" s="704"/>
      <c r="SNW37" s="704"/>
      <c r="SNX37" s="704"/>
      <c r="SNY37" s="704"/>
      <c r="SNZ37" s="704"/>
      <c r="SOA37" s="704"/>
      <c r="SOB37" s="704"/>
      <c r="SOC37" s="704"/>
      <c r="SOD37" s="704"/>
      <c r="SOE37" s="704"/>
      <c r="SOF37" s="704"/>
      <c r="SOG37" s="704"/>
      <c r="SOH37" s="704"/>
      <c r="SOI37" s="704"/>
      <c r="SOJ37" s="704"/>
      <c r="SOK37" s="704"/>
      <c r="SOL37" s="704"/>
      <c r="SOM37" s="704"/>
      <c r="SON37" s="704"/>
      <c r="SOO37" s="704"/>
      <c r="SOP37" s="704"/>
      <c r="SOQ37" s="704"/>
      <c r="SOR37" s="704"/>
      <c r="SOS37" s="704"/>
      <c r="SOT37" s="704"/>
      <c r="SOU37" s="704"/>
      <c r="SOV37" s="704"/>
      <c r="SOW37" s="704"/>
      <c r="SOX37" s="704"/>
      <c r="SOY37" s="704"/>
      <c r="SOZ37" s="704"/>
      <c r="SPA37" s="704"/>
      <c r="SPB37" s="704"/>
      <c r="SPC37" s="704"/>
      <c r="SPD37" s="704"/>
      <c r="SPE37" s="704"/>
      <c r="SPF37" s="704"/>
      <c r="SPG37" s="704"/>
      <c r="SPH37" s="704"/>
      <c r="SPI37" s="704"/>
      <c r="SPJ37" s="704"/>
      <c r="SPK37" s="704"/>
      <c r="SPL37" s="704"/>
      <c r="SPM37" s="704"/>
      <c r="SPN37" s="704"/>
      <c r="SPO37" s="704"/>
      <c r="SPP37" s="704"/>
      <c r="SPQ37" s="704"/>
      <c r="SPR37" s="704"/>
      <c r="SPS37" s="704"/>
      <c r="SPT37" s="704"/>
      <c r="SPU37" s="704"/>
      <c r="SPV37" s="704"/>
      <c r="SPW37" s="704"/>
      <c r="SPX37" s="704"/>
      <c r="SPY37" s="704"/>
      <c r="SPZ37" s="704"/>
      <c r="SQA37" s="704"/>
      <c r="SQB37" s="704"/>
      <c r="SQC37" s="704"/>
      <c r="SQD37" s="704"/>
      <c r="SQE37" s="704"/>
      <c r="SQF37" s="704"/>
      <c r="SQG37" s="704"/>
      <c r="SQH37" s="704"/>
      <c r="SQI37" s="704"/>
      <c r="SQJ37" s="704"/>
      <c r="SQK37" s="704"/>
      <c r="SQL37" s="704"/>
      <c r="SQM37" s="704"/>
      <c r="SQN37" s="704"/>
      <c r="SQO37" s="704"/>
      <c r="SQP37" s="704"/>
      <c r="SQQ37" s="704"/>
      <c r="SQR37" s="704"/>
      <c r="SQS37" s="704"/>
      <c r="SQT37" s="704"/>
      <c r="SQU37" s="704"/>
      <c r="SQV37" s="704"/>
      <c r="SQW37" s="704"/>
      <c r="SQX37" s="704"/>
      <c r="SQY37" s="704"/>
      <c r="SQZ37" s="704"/>
      <c r="SRA37" s="704"/>
      <c r="SRB37" s="704"/>
      <c r="SRC37" s="704"/>
      <c r="SRD37" s="704"/>
      <c r="SRE37" s="704"/>
      <c r="SRF37" s="704"/>
      <c r="SRG37" s="704"/>
      <c r="SRH37" s="704"/>
      <c r="SRI37" s="704"/>
      <c r="SRJ37" s="704"/>
      <c r="SRK37" s="704"/>
      <c r="SRL37" s="704"/>
      <c r="SRM37" s="704"/>
      <c r="SRN37" s="704"/>
      <c r="SRO37" s="704"/>
      <c r="SRP37" s="704"/>
      <c r="SRQ37" s="704"/>
      <c r="SRR37" s="704"/>
      <c r="SRS37" s="704"/>
      <c r="SRT37" s="704"/>
      <c r="SRU37" s="704"/>
      <c r="SRV37" s="704"/>
      <c r="SRW37" s="704"/>
      <c r="SRX37" s="704"/>
      <c r="SRY37" s="704"/>
      <c r="SRZ37" s="704"/>
      <c r="SSA37" s="704"/>
      <c r="SSB37" s="704"/>
      <c r="SSC37" s="704"/>
      <c r="SSD37" s="704"/>
      <c r="SSE37" s="704"/>
      <c r="SSF37" s="704"/>
      <c r="SSG37" s="704"/>
      <c r="SSH37" s="704"/>
      <c r="SSI37" s="704"/>
      <c r="SSJ37" s="704"/>
      <c r="SSK37" s="704"/>
      <c r="SSL37" s="704"/>
      <c r="SSM37" s="704"/>
      <c r="SSN37" s="704"/>
      <c r="SSO37" s="704"/>
      <c r="SSP37" s="704"/>
      <c r="SSQ37" s="704"/>
      <c r="SSR37" s="704"/>
      <c r="SSS37" s="704"/>
      <c r="SST37" s="704"/>
      <c r="SSU37" s="704"/>
      <c r="SSV37" s="704"/>
      <c r="SSW37" s="704"/>
      <c r="SSX37" s="704"/>
      <c r="SSY37" s="704"/>
      <c r="SSZ37" s="704"/>
      <c r="STA37" s="704"/>
      <c r="STB37" s="704"/>
      <c r="STC37" s="704"/>
      <c r="STD37" s="704"/>
      <c r="STE37" s="704"/>
      <c r="STF37" s="704"/>
      <c r="STG37" s="704"/>
      <c r="STH37" s="704"/>
      <c r="STI37" s="704"/>
      <c r="STJ37" s="704"/>
      <c r="STK37" s="704"/>
      <c r="STL37" s="704"/>
      <c r="STM37" s="704"/>
      <c r="STN37" s="704"/>
      <c r="STO37" s="704"/>
      <c r="STP37" s="704"/>
      <c r="STQ37" s="704"/>
      <c r="STR37" s="704"/>
      <c r="STS37" s="704"/>
      <c r="STT37" s="704"/>
      <c r="STU37" s="704"/>
      <c r="STV37" s="704"/>
      <c r="STW37" s="704"/>
      <c r="STX37" s="704"/>
      <c r="STY37" s="704"/>
      <c r="STZ37" s="704"/>
      <c r="SUA37" s="704"/>
      <c r="SUB37" s="704"/>
      <c r="SUC37" s="704"/>
      <c r="SUD37" s="704"/>
      <c r="SUE37" s="704"/>
      <c r="SUF37" s="704"/>
      <c r="SUG37" s="704"/>
      <c r="SUH37" s="704"/>
      <c r="SUI37" s="704"/>
      <c r="SUJ37" s="704"/>
      <c r="SUK37" s="704"/>
      <c r="SUL37" s="704"/>
      <c r="SUM37" s="704"/>
      <c r="SUN37" s="704"/>
      <c r="SUO37" s="704"/>
      <c r="SUP37" s="704"/>
      <c r="SUQ37" s="704"/>
      <c r="SUR37" s="704"/>
      <c r="SUS37" s="704"/>
      <c r="SUT37" s="704"/>
      <c r="SUU37" s="704"/>
      <c r="SUV37" s="704"/>
      <c r="SUW37" s="704"/>
      <c r="SUX37" s="704"/>
      <c r="SUY37" s="704"/>
      <c r="SUZ37" s="704"/>
      <c r="SVA37" s="704"/>
      <c r="SVB37" s="704"/>
      <c r="SVC37" s="704"/>
      <c r="SVD37" s="704"/>
      <c r="SVE37" s="704"/>
      <c r="SVF37" s="704"/>
      <c r="SVG37" s="704"/>
      <c r="SVH37" s="704"/>
      <c r="SVI37" s="704"/>
      <c r="SVJ37" s="704"/>
      <c r="SVK37" s="704"/>
      <c r="SVL37" s="704"/>
      <c r="SVM37" s="704"/>
      <c r="SVN37" s="704"/>
      <c r="SVO37" s="704"/>
      <c r="SVP37" s="704"/>
      <c r="SVQ37" s="704"/>
      <c r="SVR37" s="704"/>
      <c r="SVS37" s="704"/>
      <c r="SVT37" s="704"/>
      <c r="SVU37" s="704"/>
      <c r="SVV37" s="704"/>
      <c r="SVW37" s="704"/>
      <c r="SVX37" s="704"/>
      <c r="SVY37" s="704"/>
      <c r="SVZ37" s="704"/>
      <c r="SWA37" s="704"/>
      <c r="SWB37" s="704"/>
      <c r="SWC37" s="704"/>
      <c r="SWD37" s="704"/>
      <c r="SWE37" s="704"/>
      <c r="SWF37" s="704"/>
      <c r="SWG37" s="704"/>
      <c r="SWH37" s="704"/>
      <c r="SWI37" s="704"/>
      <c r="SWJ37" s="704"/>
      <c r="SWK37" s="704"/>
      <c r="SWL37" s="704"/>
      <c r="SWM37" s="704"/>
      <c r="SWN37" s="704"/>
      <c r="SWO37" s="704"/>
      <c r="SWP37" s="704"/>
      <c r="SWQ37" s="704"/>
      <c r="SWR37" s="704"/>
      <c r="SWS37" s="704"/>
      <c r="SWT37" s="704"/>
      <c r="SWU37" s="704"/>
      <c r="SWV37" s="704"/>
      <c r="SWW37" s="704"/>
      <c r="SWX37" s="704"/>
      <c r="SWY37" s="704"/>
      <c r="SWZ37" s="704"/>
      <c r="SXA37" s="704"/>
      <c r="SXB37" s="704"/>
      <c r="SXC37" s="704"/>
      <c r="SXD37" s="704"/>
      <c r="SXE37" s="704"/>
      <c r="SXF37" s="704"/>
      <c r="SXG37" s="704"/>
      <c r="SXH37" s="704"/>
      <c r="SXI37" s="704"/>
      <c r="SXJ37" s="704"/>
      <c r="SXK37" s="704"/>
      <c r="SXL37" s="704"/>
      <c r="SXM37" s="704"/>
      <c r="SXN37" s="704"/>
      <c r="SXO37" s="704"/>
      <c r="SXP37" s="704"/>
      <c r="SXQ37" s="704"/>
      <c r="SXR37" s="704"/>
      <c r="SXS37" s="704"/>
      <c r="SXT37" s="704"/>
      <c r="SXU37" s="704"/>
      <c r="SXV37" s="704"/>
      <c r="SXW37" s="704"/>
      <c r="SXX37" s="704"/>
      <c r="SXY37" s="704"/>
      <c r="SXZ37" s="704"/>
      <c r="SYA37" s="704"/>
      <c r="SYB37" s="704"/>
      <c r="SYC37" s="704"/>
      <c r="SYD37" s="704"/>
      <c r="SYE37" s="704"/>
      <c r="SYF37" s="704"/>
      <c r="SYG37" s="704"/>
      <c r="SYH37" s="704"/>
      <c r="SYI37" s="704"/>
      <c r="SYJ37" s="704"/>
      <c r="SYK37" s="704"/>
      <c r="SYL37" s="704"/>
      <c r="SYM37" s="704"/>
      <c r="SYN37" s="704"/>
      <c r="SYO37" s="704"/>
      <c r="SYP37" s="704"/>
      <c r="SYQ37" s="704"/>
      <c r="SYR37" s="704"/>
      <c r="SYS37" s="704"/>
      <c r="SYT37" s="704"/>
      <c r="SYU37" s="704"/>
      <c r="SYV37" s="704"/>
      <c r="SYW37" s="704"/>
      <c r="SYX37" s="704"/>
      <c r="SYY37" s="704"/>
      <c r="SYZ37" s="704"/>
      <c r="SZA37" s="704"/>
      <c r="SZB37" s="704"/>
      <c r="SZC37" s="704"/>
      <c r="SZD37" s="704"/>
      <c r="SZE37" s="704"/>
      <c r="SZF37" s="704"/>
      <c r="SZG37" s="704"/>
      <c r="SZH37" s="704"/>
      <c r="SZI37" s="704"/>
      <c r="SZJ37" s="704"/>
      <c r="SZK37" s="704"/>
      <c r="SZL37" s="704"/>
      <c r="SZM37" s="704"/>
      <c r="SZN37" s="704"/>
      <c r="SZO37" s="704"/>
      <c r="SZP37" s="704"/>
      <c r="SZQ37" s="704"/>
      <c r="SZR37" s="704"/>
      <c r="SZS37" s="704"/>
      <c r="SZT37" s="704"/>
      <c r="SZU37" s="704"/>
      <c r="SZV37" s="704"/>
      <c r="SZW37" s="704"/>
      <c r="SZX37" s="704"/>
      <c r="SZY37" s="704"/>
      <c r="SZZ37" s="704"/>
      <c r="TAA37" s="704"/>
      <c r="TAB37" s="704"/>
      <c r="TAC37" s="704"/>
      <c r="TAD37" s="704"/>
      <c r="TAE37" s="704"/>
      <c r="TAF37" s="704"/>
      <c r="TAG37" s="704"/>
      <c r="TAH37" s="704"/>
      <c r="TAI37" s="704"/>
      <c r="TAJ37" s="704"/>
      <c r="TAK37" s="704"/>
      <c r="TAL37" s="704"/>
      <c r="TAM37" s="704"/>
      <c r="TAN37" s="704"/>
      <c r="TAO37" s="704"/>
      <c r="TAP37" s="704"/>
      <c r="TAQ37" s="704"/>
      <c r="TAR37" s="704"/>
      <c r="TAS37" s="704"/>
      <c r="TAT37" s="704"/>
      <c r="TAU37" s="704"/>
      <c r="TAV37" s="704"/>
      <c r="TAW37" s="704"/>
      <c r="TAX37" s="704"/>
      <c r="TAY37" s="704"/>
      <c r="TAZ37" s="704"/>
      <c r="TBA37" s="704"/>
      <c r="TBB37" s="704"/>
      <c r="TBC37" s="704"/>
      <c r="TBD37" s="704"/>
      <c r="TBE37" s="704"/>
      <c r="TBF37" s="704"/>
      <c r="TBG37" s="704"/>
      <c r="TBH37" s="704"/>
      <c r="TBI37" s="704"/>
      <c r="TBJ37" s="704"/>
      <c r="TBK37" s="704"/>
      <c r="TBL37" s="704"/>
      <c r="TBM37" s="704"/>
      <c r="TBN37" s="704"/>
      <c r="TBO37" s="704"/>
      <c r="TBP37" s="704"/>
      <c r="TBQ37" s="704"/>
      <c r="TBR37" s="704"/>
      <c r="TBS37" s="704"/>
      <c r="TBT37" s="704"/>
      <c r="TBU37" s="704"/>
      <c r="TBV37" s="704"/>
      <c r="TBW37" s="704"/>
      <c r="TBX37" s="704"/>
      <c r="TBY37" s="704"/>
      <c r="TBZ37" s="704"/>
      <c r="TCA37" s="704"/>
      <c r="TCB37" s="704"/>
      <c r="TCC37" s="704"/>
      <c r="TCD37" s="704"/>
      <c r="TCE37" s="704"/>
      <c r="TCF37" s="704"/>
      <c r="TCG37" s="704"/>
      <c r="TCH37" s="704"/>
      <c r="TCI37" s="704"/>
      <c r="TCJ37" s="704"/>
      <c r="TCK37" s="704"/>
      <c r="TCL37" s="704"/>
      <c r="TCM37" s="704"/>
      <c r="TCN37" s="704"/>
      <c r="TCO37" s="704"/>
      <c r="TCP37" s="704"/>
      <c r="TCQ37" s="704"/>
      <c r="TCR37" s="704"/>
      <c r="TCS37" s="704"/>
      <c r="TCT37" s="704"/>
      <c r="TCU37" s="704"/>
      <c r="TCV37" s="704"/>
      <c r="TCW37" s="704"/>
      <c r="TCX37" s="704"/>
      <c r="TCY37" s="704"/>
      <c r="TCZ37" s="704"/>
      <c r="TDA37" s="704"/>
      <c r="TDB37" s="704"/>
      <c r="TDC37" s="704"/>
      <c r="TDD37" s="704"/>
      <c r="TDE37" s="704"/>
      <c r="TDF37" s="704"/>
      <c r="TDG37" s="704"/>
      <c r="TDH37" s="704"/>
      <c r="TDI37" s="704"/>
      <c r="TDJ37" s="704"/>
      <c r="TDK37" s="704"/>
      <c r="TDL37" s="704"/>
      <c r="TDM37" s="704"/>
      <c r="TDN37" s="704"/>
      <c r="TDO37" s="704"/>
      <c r="TDP37" s="704"/>
      <c r="TDQ37" s="704"/>
      <c r="TDR37" s="704"/>
      <c r="TDS37" s="704"/>
      <c r="TDT37" s="704"/>
      <c r="TDU37" s="704"/>
      <c r="TDV37" s="704"/>
      <c r="TDW37" s="704"/>
      <c r="TDX37" s="704"/>
      <c r="TDY37" s="704"/>
      <c r="TDZ37" s="704"/>
      <c r="TEA37" s="704"/>
      <c r="TEB37" s="704"/>
      <c r="TEC37" s="704"/>
      <c r="TED37" s="704"/>
      <c r="TEE37" s="704"/>
      <c r="TEF37" s="704"/>
      <c r="TEG37" s="704"/>
      <c r="TEH37" s="704"/>
      <c r="TEI37" s="704"/>
      <c r="TEJ37" s="704"/>
      <c r="TEK37" s="704"/>
      <c r="TEL37" s="704"/>
      <c r="TEM37" s="704"/>
      <c r="TEN37" s="704"/>
      <c r="TEO37" s="704"/>
      <c r="TEP37" s="704"/>
      <c r="TEQ37" s="704"/>
      <c r="TER37" s="704"/>
      <c r="TES37" s="704"/>
      <c r="TET37" s="704"/>
      <c r="TEU37" s="704"/>
      <c r="TEV37" s="704"/>
      <c r="TEW37" s="704"/>
      <c r="TEX37" s="704"/>
      <c r="TEY37" s="704"/>
      <c r="TEZ37" s="704"/>
      <c r="TFA37" s="704"/>
      <c r="TFB37" s="704"/>
      <c r="TFC37" s="704"/>
      <c r="TFD37" s="704"/>
      <c r="TFE37" s="704"/>
      <c r="TFF37" s="704"/>
      <c r="TFG37" s="704"/>
      <c r="TFH37" s="704"/>
      <c r="TFI37" s="704"/>
      <c r="TFJ37" s="704"/>
      <c r="TFK37" s="704"/>
      <c r="TFL37" s="704"/>
      <c r="TFM37" s="704"/>
      <c r="TFN37" s="704"/>
      <c r="TFO37" s="704"/>
      <c r="TFP37" s="704"/>
      <c r="TFQ37" s="704"/>
      <c r="TFR37" s="704"/>
      <c r="TFS37" s="704"/>
      <c r="TFT37" s="704"/>
      <c r="TFU37" s="704"/>
      <c r="TFV37" s="704"/>
      <c r="TFW37" s="704"/>
      <c r="TFX37" s="704"/>
      <c r="TFY37" s="704"/>
      <c r="TFZ37" s="704"/>
      <c r="TGA37" s="704"/>
      <c r="TGB37" s="704"/>
      <c r="TGC37" s="704"/>
      <c r="TGD37" s="704"/>
      <c r="TGE37" s="704"/>
      <c r="TGF37" s="704"/>
      <c r="TGG37" s="704"/>
      <c r="TGH37" s="704"/>
      <c r="TGI37" s="704"/>
      <c r="TGJ37" s="704"/>
      <c r="TGK37" s="704"/>
      <c r="TGL37" s="704"/>
      <c r="TGM37" s="704"/>
      <c r="TGN37" s="704"/>
      <c r="TGO37" s="704"/>
      <c r="TGP37" s="704"/>
      <c r="TGQ37" s="704"/>
      <c r="TGR37" s="704"/>
      <c r="TGS37" s="704"/>
      <c r="TGT37" s="704"/>
      <c r="TGU37" s="704"/>
      <c r="TGV37" s="704"/>
      <c r="TGW37" s="704"/>
      <c r="TGX37" s="704"/>
      <c r="TGY37" s="704"/>
      <c r="TGZ37" s="704"/>
      <c r="THA37" s="704"/>
      <c r="THB37" s="704"/>
      <c r="THC37" s="704"/>
      <c r="THD37" s="704"/>
      <c r="THE37" s="704"/>
      <c r="THF37" s="704"/>
      <c r="THG37" s="704"/>
      <c r="THH37" s="704"/>
      <c r="THI37" s="704"/>
      <c r="THJ37" s="704"/>
      <c r="THK37" s="704"/>
      <c r="THL37" s="704"/>
      <c r="THM37" s="704"/>
      <c r="THN37" s="704"/>
      <c r="THO37" s="704"/>
      <c r="THP37" s="704"/>
      <c r="THQ37" s="704"/>
      <c r="THR37" s="704"/>
      <c r="THS37" s="704"/>
      <c r="THT37" s="704"/>
      <c r="THU37" s="704"/>
      <c r="THV37" s="704"/>
      <c r="THW37" s="704"/>
      <c r="THX37" s="704"/>
      <c r="THY37" s="704"/>
      <c r="THZ37" s="704"/>
      <c r="TIA37" s="704"/>
      <c r="TIB37" s="704"/>
      <c r="TIC37" s="704"/>
      <c r="TID37" s="704"/>
      <c r="TIE37" s="704"/>
      <c r="TIF37" s="704"/>
      <c r="TIG37" s="704"/>
      <c r="TIH37" s="704"/>
      <c r="TII37" s="704"/>
      <c r="TIJ37" s="704"/>
      <c r="TIK37" s="704"/>
      <c r="TIL37" s="704"/>
      <c r="TIM37" s="704"/>
      <c r="TIN37" s="704"/>
      <c r="TIO37" s="704"/>
      <c r="TIP37" s="704"/>
      <c r="TIQ37" s="704"/>
      <c r="TIR37" s="704"/>
      <c r="TIS37" s="704"/>
      <c r="TIT37" s="704"/>
      <c r="TIU37" s="704"/>
      <c r="TIV37" s="704"/>
      <c r="TIW37" s="704"/>
      <c r="TIX37" s="704"/>
      <c r="TIY37" s="704"/>
      <c r="TIZ37" s="704"/>
      <c r="TJA37" s="704"/>
      <c r="TJB37" s="704"/>
      <c r="TJC37" s="704"/>
      <c r="TJD37" s="704"/>
      <c r="TJE37" s="704"/>
      <c r="TJF37" s="704"/>
      <c r="TJG37" s="704"/>
      <c r="TJH37" s="704"/>
      <c r="TJI37" s="704"/>
      <c r="TJJ37" s="704"/>
      <c r="TJK37" s="704"/>
      <c r="TJL37" s="704"/>
      <c r="TJM37" s="704"/>
      <c r="TJN37" s="704"/>
      <c r="TJO37" s="704"/>
      <c r="TJP37" s="704"/>
      <c r="TJQ37" s="704"/>
      <c r="TJR37" s="704"/>
      <c r="TJS37" s="704"/>
      <c r="TJT37" s="704"/>
      <c r="TJU37" s="704"/>
      <c r="TJV37" s="704"/>
      <c r="TJW37" s="704"/>
      <c r="TJX37" s="704"/>
      <c r="TJY37" s="704"/>
      <c r="TJZ37" s="704"/>
      <c r="TKA37" s="704"/>
      <c r="TKB37" s="704"/>
      <c r="TKC37" s="704"/>
      <c r="TKD37" s="704"/>
      <c r="TKE37" s="704"/>
      <c r="TKF37" s="704"/>
      <c r="TKG37" s="704"/>
      <c r="TKH37" s="704"/>
      <c r="TKI37" s="704"/>
      <c r="TKJ37" s="704"/>
      <c r="TKK37" s="704"/>
      <c r="TKL37" s="704"/>
      <c r="TKM37" s="704"/>
      <c r="TKN37" s="704"/>
      <c r="TKO37" s="704"/>
      <c r="TKP37" s="704"/>
      <c r="TKQ37" s="704"/>
      <c r="TKR37" s="704"/>
      <c r="TKS37" s="704"/>
      <c r="TKT37" s="704"/>
      <c r="TKU37" s="704"/>
      <c r="TKV37" s="704"/>
      <c r="TKW37" s="704"/>
      <c r="TKX37" s="704"/>
      <c r="TKY37" s="704"/>
      <c r="TKZ37" s="704"/>
      <c r="TLA37" s="704"/>
      <c r="TLB37" s="704"/>
      <c r="TLC37" s="704"/>
      <c r="TLD37" s="704"/>
      <c r="TLE37" s="704"/>
      <c r="TLF37" s="704"/>
      <c r="TLG37" s="704"/>
      <c r="TLH37" s="704"/>
      <c r="TLI37" s="704"/>
      <c r="TLJ37" s="704"/>
      <c r="TLK37" s="704"/>
      <c r="TLL37" s="704"/>
      <c r="TLM37" s="704"/>
      <c r="TLN37" s="704"/>
      <c r="TLO37" s="704"/>
      <c r="TLP37" s="704"/>
      <c r="TLQ37" s="704"/>
      <c r="TLR37" s="704"/>
      <c r="TLS37" s="704"/>
      <c r="TLT37" s="704"/>
      <c r="TLU37" s="704"/>
      <c r="TLV37" s="704"/>
      <c r="TLW37" s="704"/>
      <c r="TLX37" s="704"/>
      <c r="TLY37" s="704"/>
      <c r="TLZ37" s="704"/>
      <c r="TMA37" s="704"/>
      <c r="TMB37" s="704"/>
      <c r="TMC37" s="704"/>
      <c r="TMD37" s="704"/>
      <c r="TME37" s="704"/>
      <c r="TMF37" s="704"/>
      <c r="TMG37" s="704"/>
      <c r="TMH37" s="704"/>
      <c r="TMI37" s="704"/>
      <c r="TMJ37" s="704"/>
      <c r="TMK37" s="704"/>
      <c r="TML37" s="704"/>
      <c r="TMM37" s="704"/>
      <c r="TMN37" s="704"/>
      <c r="TMO37" s="704"/>
      <c r="TMP37" s="704"/>
      <c r="TMQ37" s="704"/>
      <c r="TMR37" s="704"/>
      <c r="TMS37" s="704"/>
      <c r="TMT37" s="704"/>
      <c r="TMU37" s="704"/>
      <c r="TMV37" s="704"/>
      <c r="TMW37" s="704"/>
      <c r="TMX37" s="704"/>
      <c r="TMY37" s="704"/>
      <c r="TMZ37" s="704"/>
      <c r="TNA37" s="704"/>
      <c r="TNB37" s="704"/>
      <c r="TNC37" s="704"/>
      <c r="TND37" s="704"/>
      <c r="TNE37" s="704"/>
      <c r="TNF37" s="704"/>
      <c r="TNG37" s="704"/>
      <c r="TNH37" s="704"/>
      <c r="TNI37" s="704"/>
      <c r="TNJ37" s="704"/>
      <c r="TNK37" s="704"/>
      <c r="TNL37" s="704"/>
      <c r="TNM37" s="704"/>
      <c r="TNN37" s="704"/>
      <c r="TNO37" s="704"/>
      <c r="TNP37" s="704"/>
      <c r="TNQ37" s="704"/>
      <c r="TNR37" s="704"/>
      <c r="TNS37" s="704"/>
      <c r="TNT37" s="704"/>
      <c r="TNU37" s="704"/>
      <c r="TNV37" s="704"/>
      <c r="TNW37" s="704"/>
      <c r="TNX37" s="704"/>
      <c r="TNY37" s="704"/>
      <c r="TNZ37" s="704"/>
      <c r="TOA37" s="704"/>
      <c r="TOB37" s="704"/>
      <c r="TOC37" s="704"/>
      <c r="TOD37" s="704"/>
      <c r="TOE37" s="704"/>
      <c r="TOF37" s="704"/>
      <c r="TOG37" s="704"/>
      <c r="TOH37" s="704"/>
      <c r="TOI37" s="704"/>
      <c r="TOJ37" s="704"/>
      <c r="TOK37" s="704"/>
      <c r="TOL37" s="704"/>
      <c r="TOM37" s="704"/>
      <c r="TON37" s="704"/>
      <c r="TOO37" s="704"/>
      <c r="TOP37" s="704"/>
      <c r="TOQ37" s="704"/>
      <c r="TOR37" s="704"/>
      <c r="TOS37" s="704"/>
      <c r="TOT37" s="704"/>
      <c r="TOU37" s="704"/>
      <c r="TOV37" s="704"/>
      <c r="TOW37" s="704"/>
      <c r="TOX37" s="704"/>
      <c r="TOY37" s="704"/>
      <c r="TOZ37" s="704"/>
      <c r="TPA37" s="704"/>
      <c r="TPB37" s="704"/>
      <c r="TPC37" s="704"/>
      <c r="TPD37" s="704"/>
      <c r="TPE37" s="704"/>
      <c r="TPF37" s="704"/>
      <c r="TPG37" s="704"/>
      <c r="TPH37" s="704"/>
      <c r="TPI37" s="704"/>
      <c r="TPJ37" s="704"/>
      <c r="TPK37" s="704"/>
      <c r="TPL37" s="704"/>
      <c r="TPM37" s="704"/>
      <c r="TPN37" s="704"/>
      <c r="TPO37" s="704"/>
      <c r="TPP37" s="704"/>
      <c r="TPQ37" s="704"/>
      <c r="TPR37" s="704"/>
      <c r="TPS37" s="704"/>
      <c r="TPT37" s="704"/>
      <c r="TPU37" s="704"/>
      <c r="TPV37" s="704"/>
      <c r="TPW37" s="704"/>
      <c r="TPX37" s="704"/>
      <c r="TPY37" s="704"/>
      <c r="TPZ37" s="704"/>
      <c r="TQA37" s="704"/>
      <c r="TQB37" s="704"/>
      <c r="TQC37" s="704"/>
      <c r="TQD37" s="704"/>
      <c r="TQE37" s="704"/>
      <c r="TQF37" s="704"/>
      <c r="TQG37" s="704"/>
      <c r="TQH37" s="704"/>
      <c r="TQI37" s="704"/>
      <c r="TQJ37" s="704"/>
      <c r="TQK37" s="704"/>
      <c r="TQL37" s="704"/>
      <c r="TQM37" s="704"/>
      <c r="TQN37" s="704"/>
      <c r="TQO37" s="704"/>
      <c r="TQP37" s="704"/>
      <c r="TQQ37" s="704"/>
      <c r="TQR37" s="704"/>
      <c r="TQS37" s="704"/>
      <c r="TQT37" s="704"/>
      <c r="TQU37" s="704"/>
      <c r="TQV37" s="704"/>
      <c r="TQW37" s="704"/>
      <c r="TQX37" s="704"/>
      <c r="TQY37" s="704"/>
      <c r="TQZ37" s="704"/>
      <c r="TRA37" s="704"/>
      <c r="TRB37" s="704"/>
      <c r="TRC37" s="704"/>
      <c r="TRD37" s="704"/>
      <c r="TRE37" s="704"/>
      <c r="TRF37" s="704"/>
      <c r="TRG37" s="704"/>
      <c r="TRH37" s="704"/>
      <c r="TRI37" s="704"/>
      <c r="TRJ37" s="704"/>
      <c r="TRK37" s="704"/>
      <c r="TRL37" s="704"/>
      <c r="TRM37" s="704"/>
      <c r="TRN37" s="704"/>
      <c r="TRO37" s="704"/>
      <c r="TRP37" s="704"/>
      <c r="TRQ37" s="704"/>
      <c r="TRR37" s="704"/>
      <c r="TRS37" s="704"/>
      <c r="TRT37" s="704"/>
      <c r="TRU37" s="704"/>
      <c r="TRV37" s="704"/>
      <c r="TRW37" s="704"/>
      <c r="TRX37" s="704"/>
      <c r="TRY37" s="704"/>
      <c r="TRZ37" s="704"/>
      <c r="TSA37" s="704"/>
      <c r="TSB37" s="704"/>
      <c r="TSC37" s="704"/>
      <c r="TSD37" s="704"/>
      <c r="TSE37" s="704"/>
      <c r="TSF37" s="704"/>
      <c r="TSG37" s="704"/>
      <c r="TSH37" s="704"/>
      <c r="TSI37" s="704"/>
      <c r="TSJ37" s="704"/>
      <c r="TSK37" s="704"/>
      <c r="TSL37" s="704"/>
      <c r="TSM37" s="704"/>
      <c r="TSN37" s="704"/>
      <c r="TSO37" s="704"/>
      <c r="TSP37" s="704"/>
      <c r="TSQ37" s="704"/>
      <c r="TSR37" s="704"/>
      <c r="TSS37" s="704"/>
      <c r="TST37" s="704"/>
      <c r="TSU37" s="704"/>
      <c r="TSV37" s="704"/>
      <c r="TSW37" s="704"/>
      <c r="TSX37" s="704"/>
      <c r="TSY37" s="704"/>
      <c r="TSZ37" s="704"/>
      <c r="TTA37" s="704"/>
      <c r="TTB37" s="704"/>
      <c r="TTC37" s="704"/>
      <c r="TTD37" s="704"/>
      <c r="TTE37" s="704"/>
      <c r="TTF37" s="704"/>
      <c r="TTG37" s="704"/>
      <c r="TTH37" s="704"/>
      <c r="TTI37" s="704"/>
      <c r="TTJ37" s="704"/>
      <c r="TTK37" s="704"/>
      <c r="TTL37" s="704"/>
      <c r="TTM37" s="704"/>
      <c r="TTN37" s="704"/>
      <c r="TTO37" s="704"/>
      <c r="TTP37" s="704"/>
      <c r="TTQ37" s="704"/>
      <c r="TTR37" s="704"/>
      <c r="TTS37" s="704"/>
      <c r="TTT37" s="704"/>
      <c r="TTU37" s="704"/>
      <c r="TTV37" s="704"/>
      <c r="TTW37" s="704"/>
      <c r="TTX37" s="704"/>
      <c r="TTY37" s="704"/>
      <c r="TTZ37" s="704"/>
      <c r="TUA37" s="704"/>
      <c r="TUB37" s="704"/>
      <c r="TUC37" s="704"/>
      <c r="TUD37" s="704"/>
      <c r="TUE37" s="704"/>
      <c r="TUF37" s="704"/>
      <c r="TUG37" s="704"/>
      <c r="TUH37" s="704"/>
      <c r="TUI37" s="704"/>
      <c r="TUJ37" s="704"/>
      <c r="TUK37" s="704"/>
      <c r="TUL37" s="704"/>
      <c r="TUM37" s="704"/>
      <c r="TUN37" s="704"/>
      <c r="TUO37" s="704"/>
      <c r="TUP37" s="704"/>
      <c r="TUQ37" s="704"/>
      <c r="TUR37" s="704"/>
      <c r="TUS37" s="704"/>
      <c r="TUT37" s="704"/>
      <c r="TUU37" s="704"/>
      <c r="TUV37" s="704"/>
      <c r="TUW37" s="704"/>
      <c r="TUX37" s="704"/>
      <c r="TUY37" s="704"/>
      <c r="TUZ37" s="704"/>
      <c r="TVA37" s="704"/>
      <c r="TVB37" s="704"/>
      <c r="TVC37" s="704"/>
      <c r="TVD37" s="704"/>
      <c r="TVE37" s="704"/>
      <c r="TVF37" s="704"/>
      <c r="TVG37" s="704"/>
      <c r="TVH37" s="704"/>
      <c r="TVI37" s="704"/>
      <c r="TVJ37" s="704"/>
      <c r="TVK37" s="704"/>
      <c r="TVL37" s="704"/>
      <c r="TVM37" s="704"/>
      <c r="TVN37" s="704"/>
      <c r="TVO37" s="704"/>
      <c r="TVP37" s="704"/>
      <c r="TVQ37" s="704"/>
      <c r="TVR37" s="704"/>
      <c r="TVS37" s="704"/>
      <c r="TVT37" s="704"/>
      <c r="TVU37" s="704"/>
      <c r="TVV37" s="704"/>
      <c r="TVW37" s="704"/>
      <c r="TVX37" s="704"/>
      <c r="TVY37" s="704"/>
      <c r="TVZ37" s="704"/>
      <c r="TWA37" s="704"/>
      <c r="TWB37" s="704"/>
      <c r="TWC37" s="704"/>
      <c r="TWD37" s="704"/>
      <c r="TWE37" s="704"/>
      <c r="TWF37" s="704"/>
      <c r="TWG37" s="704"/>
      <c r="TWH37" s="704"/>
      <c r="TWI37" s="704"/>
      <c r="TWJ37" s="704"/>
      <c r="TWK37" s="704"/>
      <c r="TWL37" s="704"/>
      <c r="TWM37" s="704"/>
      <c r="TWN37" s="704"/>
      <c r="TWO37" s="704"/>
      <c r="TWP37" s="704"/>
      <c r="TWQ37" s="704"/>
      <c r="TWR37" s="704"/>
      <c r="TWS37" s="704"/>
      <c r="TWT37" s="704"/>
      <c r="TWU37" s="704"/>
      <c r="TWV37" s="704"/>
      <c r="TWW37" s="704"/>
      <c r="TWX37" s="704"/>
      <c r="TWY37" s="704"/>
      <c r="TWZ37" s="704"/>
      <c r="TXA37" s="704"/>
      <c r="TXB37" s="704"/>
      <c r="TXC37" s="704"/>
      <c r="TXD37" s="704"/>
      <c r="TXE37" s="704"/>
      <c r="TXF37" s="704"/>
      <c r="TXG37" s="704"/>
      <c r="TXH37" s="704"/>
      <c r="TXI37" s="704"/>
      <c r="TXJ37" s="704"/>
      <c r="TXK37" s="704"/>
      <c r="TXL37" s="704"/>
      <c r="TXM37" s="704"/>
      <c r="TXN37" s="704"/>
      <c r="TXO37" s="704"/>
      <c r="TXP37" s="704"/>
      <c r="TXQ37" s="704"/>
      <c r="TXR37" s="704"/>
      <c r="TXS37" s="704"/>
      <c r="TXT37" s="704"/>
      <c r="TXU37" s="704"/>
      <c r="TXV37" s="704"/>
      <c r="TXW37" s="704"/>
      <c r="TXX37" s="704"/>
      <c r="TXY37" s="704"/>
      <c r="TXZ37" s="704"/>
      <c r="TYA37" s="704"/>
      <c r="TYB37" s="704"/>
      <c r="TYC37" s="704"/>
      <c r="TYD37" s="704"/>
      <c r="TYE37" s="704"/>
      <c r="TYF37" s="704"/>
      <c r="TYG37" s="704"/>
      <c r="TYH37" s="704"/>
      <c r="TYI37" s="704"/>
      <c r="TYJ37" s="704"/>
      <c r="TYK37" s="704"/>
      <c r="TYL37" s="704"/>
      <c r="TYM37" s="704"/>
      <c r="TYN37" s="704"/>
      <c r="TYO37" s="704"/>
      <c r="TYP37" s="704"/>
      <c r="TYQ37" s="704"/>
      <c r="TYR37" s="704"/>
      <c r="TYS37" s="704"/>
      <c r="TYT37" s="704"/>
      <c r="TYU37" s="704"/>
      <c r="TYV37" s="704"/>
      <c r="TYW37" s="704"/>
      <c r="TYX37" s="704"/>
      <c r="TYY37" s="704"/>
      <c r="TYZ37" s="704"/>
      <c r="TZA37" s="704"/>
      <c r="TZB37" s="704"/>
      <c r="TZC37" s="704"/>
      <c r="TZD37" s="704"/>
      <c r="TZE37" s="704"/>
      <c r="TZF37" s="704"/>
      <c r="TZG37" s="704"/>
      <c r="TZH37" s="704"/>
      <c r="TZI37" s="704"/>
      <c r="TZJ37" s="704"/>
      <c r="TZK37" s="704"/>
      <c r="TZL37" s="704"/>
      <c r="TZM37" s="704"/>
      <c r="TZN37" s="704"/>
      <c r="TZO37" s="704"/>
      <c r="TZP37" s="704"/>
      <c r="TZQ37" s="704"/>
      <c r="TZR37" s="704"/>
      <c r="TZS37" s="704"/>
      <c r="TZT37" s="704"/>
      <c r="TZU37" s="704"/>
      <c r="TZV37" s="704"/>
      <c r="TZW37" s="704"/>
      <c r="TZX37" s="704"/>
      <c r="TZY37" s="704"/>
      <c r="TZZ37" s="704"/>
      <c r="UAA37" s="704"/>
      <c r="UAB37" s="704"/>
      <c r="UAC37" s="704"/>
      <c r="UAD37" s="704"/>
      <c r="UAE37" s="704"/>
      <c r="UAF37" s="704"/>
      <c r="UAG37" s="704"/>
      <c r="UAH37" s="704"/>
      <c r="UAI37" s="704"/>
      <c r="UAJ37" s="704"/>
      <c r="UAK37" s="704"/>
      <c r="UAL37" s="704"/>
      <c r="UAM37" s="704"/>
      <c r="UAN37" s="704"/>
      <c r="UAO37" s="704"/>
      <c r="UAP37" s="704"/>
      <c r="UAQ37" s="704"/>
      <c r="UAR37" s="704"/>
      <c r="UAS37" s="704"/>
      <c r="UAT37" s="704"/>
      <c r="UAU37" s="704"/>
      <c r="UAV37" s="704"/>
      <c r="UAW37" s="704"/>
      <c r="UAX37" s="704"/>
      <c r="UAY37" s="704"/>
      <c r="UAZ37" s="704"/>
      <c r="UBA37" s="704"/>
      <c r="UBB37" s="704"/>
      <c r="UBC37" s="704"/>
      <c r="UBD37" s="704"/>
      <c r="UBE37" s="704"/>
      <c r="UBF37" s="704"/>
      <c r="UBG37" s="704"/>
      <c r="UBH37" s="704"/>
      <c r="UBI37" s="704"/>
      <c r="UBJ37" s="704"/>
      <c r="UBK37" s="704"/>
      <c r="UBL37" s="704"/>
      <c r="UBM37" s="704"/>
      <c r="UBN37" s="704"/>
      <c r="UBO37" s="704"/>
      <c r="UBP37" s="704"/>
      <c r="UBQ37" s="704"/>
      <c r="UBR37" s="704"/>
      <c r="UBS37" s="704"/>
      <c r="UBT37" s="704"/>
      <c r="UBU37" s="704"/>
      <c r="UBV37" s="704"/>
      <c r="UBW37" s="704"/>
      <c r="UBX37" s="704"/>
      <c r="UBY37" s="704"/>
      <c r="UBZ37" s="704"/>
      <c r="UCA37" s="704"/>
      <c r="UCB37" s="704"/>
      <c r="UCC37" s="704"/>
      <c r="UCD37" s="704"/>
      <c r="UCE37" s="704"/>
      <c r="UCF37" s="704"/>
      <c r="UCG37" s="704"/>
      <c r="UCH37" s="704"/>
      <c r="UCI37" s="704"/>
      <c r="UCJ37" s="704"/>
      <c r="UCK37" s="704"/>
      <c r="UCL37" s="704"/>
      <c r="UCM37" s="704"/>
      <c r="UCN37" s="704"/>
      <c r="UCO37" s="704"/>
      <c r="UCP37" s="704"/>
      <c r="UCQ37" s="704"/>
      <c r="UCR37" s="704"/>
      <c r="UCS37" s="704"/>
      <c r="UCT37" s="704"/>
      <c r="UCU37" s="704"/>
      <c r="UCV37" s="704"/>
      <c r="UCW37" s="704"/>
      <c r="UCX37" s="704"/>
      <c r="UCY37" s="704"/>
      <c r="UCZ37" s="704"/>
      <c r="UDA37" s="704"/>
      <c r="UDB37" s="704"/>
      <c r="UDC37" s="704"/>
      <c r="UDD37" s="704"/>
      <c r="UDE37" s="704"/>
      <c r="UDF37" s="704"/>
      <c r="UDG37" s="704"/>
      <c r="UDH37" s="704"/>
      <c r="UDI37" s="704"/>
      <c r="UDJ37" s="704"/>
      <c r="UDK37" s="704"/>
      <c r="UDL37" s="704"/>
      <c r="UDM37" s="704"/>
      <c r="UDN37" s="704"/>
      <c r="UDO37" s="704"/>
      <c r="UDP37" s="704"/>
      <c r="UDQ37" s="704"/>
      <c r="UDR37" s="704"/>
      <c r="UDS37" s="704"/>
      <c r="UDT37" s="704"/>
      <c r="UDU37" s="704"/>
      <c r="UDV37" s="704"/>
      <c r="UDW37" s="704"/>
      <c r="UDX37" s="704"/>
      <c r="UDY37" s="704"/>
      <c r="UDZ37" s="704"/>
      <c r="UEA37" s="704"/>
      <c r="UEB37" s="704"/>
      <c r="UEC37" s="704"/>
      <c r="UED37" s="704"/>
      <c r="UEE37" s="704"/>
      <c r="UEF37" s="704"/>
      <c r="UEG37" s="704"/>
      <c r="UEH37" s="704"/>
      <c r="UEI37" s="704"/>
      <c r="UEJ37" s="704"/>
      <c r="UEK37" s="704"/>
      <c r="UEL37" s="704"/>
      <c r="UEM37" s="704"/>
      <c r="UEN37" s="704"/>
      <c r="UEO37" s="704"/>
      <c r="UEP37" s="704"/>
      <c r="UEQ37" s="704"/>
      <c r="UER37" s="704"/>
      <c r="UES37" s="704"/>
      <c r="UET37" s="704"/>
      <c r="UEU37" s="704"/>
      <c r="UEV37" s="704"/>
      <c r="UEW37" s="704"/>
      <c r="UEX37" s="704"/>
      <c r="UEY37" s="704"/>
      <c r="UEZ37" s="704"/>
      <c r="UFA37" s="704"/>
      <c r="UFB37" s="704"/>
      <c r="UFC37" s="704"/>
      <c r="UFD37" s="704"/>
      <c r="UFE37" s="704"/>
      <c r="UFF37" s="704"/>
      <c r="UFG37" s="704"/>
      <c r="UFH37" s="704"/>
      <c r="UFI37" s="704"/>
      <c r="UFJ37" s="704"/>
      <c r="UFK37" s="704"/>
      <c r="UFL37" s="704"/>
      <c r="UFM37" s="704"/>
      <c r="UFN37" s="704"/>
      <c r="UFO37" s="704"/>
      <c r="UFP37" s="704"/>
      <c r="UFQ37" s="704"/>
      <c r="UFR37" s="704"/>
      <c r="UFS37" s="704"/>
      <c r="UFT37" s="704"/>
      <c r="UFU37" s="704"/>
      <c r="UFV37" s="704"/>
      <c r="UFW37" s="704"/>
      <c r="UFX37" s="704"/>
      <c r="UFY37" s="704"/>
      <c r="UFZ37" s="704"/>
      <c r="UGA37" s="704"/>
      <c r="UGB37" s="704"/>
      <c r="UGC37" s="704"/>
      <c r="UGD37" s="704"/>
      <c r="UGE37" s="704"/>
      <c r="UGF37" s="704"/>
      <c r="UGG37" s="704"/>
      <c r="UGH37" s="704"/>
      <c r="UGI37" s="704"/>
      <c r="UGJ37" s="704"/>
      <c r="UGK37" s="704"/>
      <c r="UGL37" s="704"/>
      <c r="UGM37" s="704"/>
      <c r="UGN37" s="704"/>
      <c r="UGO37" s="704"/>
      <c r="UGP37" s="704"/>
      <c r="UGQ37" s="704"/>
      <c r="UGR37" s="704"/>
      <c r="UGS37" s="704"/>
      <c r="UGT37" s="704"/>
      <c r="UGU37" s="704"/>
      <c r="UGV37" s="704"/>
      <c r="UGW37" s="704"/>
      <c r="UGX37" s="704"/>
      <c r="UGY37" s="704"/>
      <c r="UGZ37" s="704"/>
      <c r="UHA37" s="704"/>
      <c r="UHB37" s="704"/>
      <c r="UHC37" s="704"/>
      <c r="UHD37" s="704"/>
      <c r="UHE37" s="704"/>
      <c r="UHF37" s="704"/>
      <c r="UHG37" s="704"/>
      <c r="UHH37" s="704"/>
      <c r="UHI37" s="704"/>
      <c r="UHJ37" s="704"/>
      <c r="UHK37" s="704"/>
      <c r="UHL37" s="704"/>
      <c r="UHM37" s="704"/>
      <c r="UHN37" s="704"/>
      <c r="UHO37" s="704"/>
      <c r="UHP37" s="704"/>
      <c r="UHQ37" s="704"/>
      <c r="UHR37" s="704"/>
      <c r="UHS37" s="704"/>
      <c r="UHT37" s="704"/>
      <c r="UHU37" s="704"/>
      <c r="UHV37" s="704"/>
      <c r="UHW37" s="704"/>
      <c r="UHX37" s="704"/>
      <c r="UHY37" s="704"/>
      <c r="UHZ37" s="704"/>
      <c r="UIA37" s="704"/>
      <c r="UIB37" s="704"/>
      <c r="UIC37" s="704"/>
      <c r="UID37" s="704"/>
      <c r="UIE37" s="704"/>
      <c r="UIF37" s="704"/>
      <c r="UIG37" s="704"/>
      <c r="UIH37" s="704"/>
      <c r="UII37" s="704"/>
      <c r="UIJ37" s="704"/>
      <c r="UIK37" s="704"/>
      <c r="UIL37" s="704"/>
      <c r="UIM37" s="704"/>
      <c r="UIN37" s="704"/>
      <c r="UIO37" s="704"/>
      <c r="UIP37" s="704"/>
      <c r="UIQ37" s="704"/>
      <c r="UIR37" s="704"/>
      <c r="UIS37" s="704"/>
      <c r="UIT37" s="704"/>
      <c r="UIU37" s="704"/>
      <c r="UIV37" s="704"/>
      <c r="UIW37" s="704"/>
      <c r="UIX37" s="704"/>
      <c r="UIY37" s="704"/>
      <c r="UIZ37" s="704"/>
      <c r="UJA37" s="704"/>
      <c r="UJB37" s="704"/>
      <c r="UJC37" s="704"/>
      <c r="UJD37" s="704"/>
      <c r="UJE37" s="704"/>
      <c r="UJF37" s="704"/>
      <c r="UJG37" s="704"/>
      <c r="UJH37" s="704"/>
      <c r="UJI37" s="704"/>
      <c r="UJJ37" s="704"/>
      <c r="UJK37" s="704"/>
      <c r="UJL37" s="704"/>
      <c r="UJM37" s="704"/>
      <c r="UJN37" s="704"/>
      <c r="UJO37" s="704"/>
      <c r="UJP37" s="704"/>
      <c r="UJQ37" s="704"/>
      <c r="UJR37" s="704"/>
      <c r="UJS37" s="704"/>
      <c r="UJT37" s="704"/>
      <c r="UJU37" s="704"/>
      <c r="UJV37" s="704"/>
      <c r="UJW37" s="704"/>
      <c r="UJX37" s="704"/>
      <c r="UJY37" s="704"/>
      <c r="UJZ37" s="704"/>
      <c r="UKA37" s="704"/>
      <c r="UKB37" s="704"/>
      <c r="UKC37" s="704"/>
      <c r="UKD37" s="704"/>
      <c r="UKE37" s="704"/>
      <c r="UKF37" s="704"/>
      <c r="UKG37" s="704"/>
      <c r="UKH37" s="704"/>
      <c r="UKI37" s="704"/>
      <c r="UKJ37" s="704"/>
      <c r="UKK37" s="704"/>
      <c r="UKL37" s="704"/>
      <c r="UKM37" s="704"/>
      <c r="UKN37" s="704"/>
      <c r="UKO37" s="704"/>
      <c r="UKP37" s="704"/>
      <c r="UKQ37" s="704"/>
      <c r="UKR37" s="704"/>
      <c r="UKS37" s="704"/>
      <c r="UKT37" s="704"/>
      <c r="UKU37" s="704"/>
      <c r="UKV37" s="704"/>
      <c r="UKW37" s="704"/>
      <c r="UKX37" s="704"/>
      <c r="UKY37" s="704"/>
      <c r="UKZ37" s="704"/>
      <c r="ULA37" s="704"/>
      <c r="ULB37" s="704"/>
      <c r="ULC37" s="704"/>
      <c r="ULD37" s="704"/>
      <c r="ULE37" s="704"/>
      <c r="ULF37" s="704"/>
      <c r="ULG37" s="704"/>
      <c r="ULH37" s="704"/>
      <c r="ULI37" s="704"/>
      <c r="ULJ37" s="704"/>
      <c r="ULK37" s="704"/>
      <c r="ULL37" s="704"/>
      <c r="ULM37" s="704"/>
      <c r="ULN37" s="704"/>
      <c r="ULO37" s="704"/>
      <c r="ULP37" s="704"/>
      <c r="ULQ37" s="704"/>
      <c r="ULR37" s="704"/>
      <c r="ULS37" s="704"/>
      <c r="ULT37" s="704"/>
      <c r="ULU37" s="704"/>
      <c r="ULV37" s="704"/>
      <c r="ULW37" s="704"/>
      <c r="ULX37" s="704"/>
      <c r="ULY37" s="704"/>
      <c r="ULZ37" s="704"/>
      <c r="UMA37" s="704"/>
      <c r="UMB37" s="704"/>
      <c r="UMC37" s="704"/>
      <c r="UMD37" s="704"/>
      <c r="UME37" s="704"/>
      <c r="UMF37" s="704"/>
      <c r="UMG37" s="704"/>
      <c r="UMH37" s="704"/>
      <c r="UMI37" s="704"/>
      <c r="UMJ37" s="704"/>
      <c r="UMK37" s="704"/>
      <c r="UML37" s="704"/>
      <c r="UMM37" s="704"/>
      <c r="UMN37" s="704"/>
      <c r="UMO37" s="704"/>
      <c r="UMP37" s="704"/>
      <c r="UMQ37" s="704"/>
      <c r="UMR37" s="704"/>
      <c r="UMS37" s="704"/>
      <c r="UMT37" s="704"/>
      <c r="UMU37" s="704"/>
      <c r="UMV37" s="704"/>
      <c r="UMW37" s="704"/>
      <c r="UMX37" s="704"/>
      <c r="UMY37" s="704"/>
      <c r="UMZ37" s="704"/>
      <c r="UNA37" s="704"/>
      <c r="UNB37" s="704"/>
      <c r="UNC37" s="704"/>
      <c r="UND37" s="704"/>
      <c r="UNE37" s="704"/>
      <c r="UNF37" s="704"/>
      <c r="UNG37" s="704"/>
      <c r="UNH37" s="704"/>
      <c r="UNI37" s="704"/>
      <c r="UNJ37" s="704"/>
      <c r="UNK37" s="704"/>
      <c r="UNL37" s="704"/>
      <c r="UNM37" s="704"/>
      <c r="UNN37" s="704"/>
      <c r="UNO37" s="704"/>
      <c r="UNP37" s="704"/>
      <c r="UNQ37" s="704"/>
      <c r="UNR37" s="704"/>
      <c r="UNS37" s="704"/>
      <c r="UNT37" s="704"/>
      <c r="UNU37" s="704"/>
      <c r="UNV37" s="704"/>
      <c r="UNW37" s="704"/>
      <c r="UNX37" s="704"/>
      <c r="UNY37" s="704"/>
      <c r="UNZ37" s="704"/>
      <c r="UOA37" s="704"/>
      <c r="UOB37" s="704"/>
      <c r="UOC37" s="704"/>
      <c r="UOD37" s="704"/>
      <c r="UOE37" s="704"/>
      <c r="UOF37" s="704"/>
      <c r="UOG37" s="704"/>
      <c r="UOH37" s="704"/>
      <c r="UOI37" s="704"/>
      <c r="UOJ37" s="704"/>
      <c r="UOK37" s="704"/>
      <c r="UOL37" s="704"/>
      <c r="UOM37" s="704"/>
      <c r="UON37" s="704"/>
      <c r="UOO37" s="704"/>
      <c r="UOP37" s="704"/>
      <c r="UOQ37" s="704"/>
      <c r="UOR37" s="704"/>
      <c r="UOS37" s="704"/>
      <c r="UOT37" s="704"/>
      <c r="UOU37" s="704"/>
      <c r="UOV37" s="704"/>
      <c r="UOW37" s="704"/>
      <c r="UOX37" s="704"/>
      <c r="UOY37" s="704"/>
      <c r="UOZ37" s="704"/>
      <c r="UPA37" s="704"/>
      <c r="UPB37" s="704"/>
      <c r="UPC37" s="704"/>
      <c r="UPD37" s="704"/>
      <c r="UPE37" s="704"/>
      <c r="UPF37" s="704"/>
      <c r="UPG37" s="704"/>
      <c r="UPH37" s="704"/>
      <c r="UPI37" s="704"/>
      <c r="UPJ37" s="704"/>
      <c r="UPK37" s="704"/>
      <c r="UPL37" s="704"/>
      <c r="UPM37" s="704"/>
      <c r="UPN37" s="704"/>
      <c r="UPO37" s="704"/>
      <c r="UPP37" s="704"/>
      <c r="UPQ37" s="704"/>
      <c r="UPR37" s="704"/>
      <c r="UPS37" s="704"/>
      <c r="UPT37" s="704"/>
      <c r="UPU37" s="704"/>
      <c r="UPV37" s="704"/>
      <c r="UPW37" s="704"/>
      <c r="UPX37" s="704"/>
      <c r="UPY37" s="704"/>
      <c r="UPZ37" s="704"/>
      <c r="UQA37" s="704"/>
      <c r="UQB37" s="704"/>
      <c r="UQC37" s="704"/>
      <c r="UQD37" s="704"/>
      <c r="UQE37" s="704"/>
      <c r="UQF37" s="704"/>
      <c r="UQG37" s="704"/>
      <c r="UQH37" s="704"/>
      <c r="UQI37" s="704"/>
      <c r="UQJ37" s="704"/>
      <c r="UQK37" s="704"/>
      <c r="UQL37" s="704"/>
      <c r="UQM37" s="704"/>
      <c r="UQN37" s="704"/>
      <c r="UQO37" s="704"/>
      <c r="UQP37" s="704"/>
      <c r="UQQ37" s="704"/>
      <c r="UQR37" s="704"/>
      <c r="UQS37" s="704"/>
      <c r="UQT37" s="704"/>
      <c r="UQU37" s="704"/>
      <c r="UQV37" s="704"/>
      <c r="UQW37" s="704"/>
      <c r="UQX37" s="704"/>
      <c r="UQY37" s="704"/>
      <c r="UQZ37" s="704"/>
      <c r="URA37" s="704"/>
      <c r="URB37" s="704"/>
      <c r="URC37" s="704"/>
      <c r="URD37" s="704"/>
      <c r="URE37" s="704"/>
      <c r="URF37" s="704"/>
      <c r="URG37" s="704"/>
      <c r="URH37" s="704"/>
      <c r="URI37" s="704"/>
      <c r="URJ37" s="704"/>
      <c r="URK37" s="704"/>
      <c r="URL37" s="704"/>
      <c r="URM37" s="704"/>
      <c r="URN37" s="704"/>
      <c r="URO37" s="704"/>
      <c r="URP37" s="704"/>
      <c r="URQ37" s="704"/>
      <c r="URR37" s="704"/>
      <c r="URS37" s="704"/>
      <c r="URT37" s="704"/>
      <c r="URU37" s="704"/>
      <c r="URV37" s="704"/>
      <c r="URW37" s="704"/>
      <c r="URX37" s="704"/>
      <c r="URY37" s="704"/>
      <c r="URZ37" s="704"/>
      <c r="USA37" s="704"/>
      <c r="USB37" s="704"/>
      <c r="USC37" s="704"/>
      <c r="USD37" s="704"/>
      <c r="USE37" s="704"/>
      <c r="USF37" s="704"/>
      <c r="USG37" s="704"/>
      <c r="USH37" s="704"/>
      <c r="USI37" s="704"/>
      <c r="USJ37" s="704"/>
      <c r="USK37" s="704"/>
      <c r="USL37" s="704"/>
      <c r="USM37" s="704"/>
      <c r="USN37" s="704"/>
      <c r="USO37" s="704"/>
      <c r="USP37" s="704"/>
      <c r="USQ37" s="704"/>
      <c r="USR37" s="704"/>
      <c r="USS37" s="704"/>
      <c r="UST37" s="704"/>
      <c r="USU37" s="704"/>
      <c r="USV37" s="704"/>
      <c r="USW37" s="704"/>
      <c r="USX37" s="704"/>
      <c r="USY37" s="704"/>
      <c r="USZ37" s="704"/>
      <c r="UTA37" s="704"/>
      <c r="UTB37" s="704"/>
      <c r="UTC37" s="704"/>
      <c r="UTD37" s="704"/>
      <c r="UTE37" s="704"/>
      <c r="UTF37" s="704"/>
      <c r="UTG37" s="704"/>
      <c r="UTH37" s="704"/>
      <c r="UTI37" s="704"/>
      <c r="UTJ37" s="704"/>
      <c r="UTK37" s="704"/>
      <c r="UTL37" s="704"/>
      <c r="UTM37" s="704"/>
      <c r="UTN37" s="704"/>
      <c r="UTO37" s="704"/>
      <c r="UTP37" s="704"/>
      <c r="UTQ37" s="704"/>
      <c r="UTR37" s="704"/>
      <c r="UTS37" s="704"/>
      <c r="UTT37" s="704"/>
      <c r="UTU37" s="704"/>
      <c r="UTV37" s="704"/>
      <c r="UTW37" s="704"/>
      <c r="UTX37" s="704"/>
      <c r="UTY37" s="704"/>
      <c r="UTZ37" s="704"/>
      <c r="UUA37" s="704"/>
      <c r="UUB37" s="704"/>
      <c r="UUC37" s="704"/>
      <c r="UUD37" s="704"/>
      <c r="UUE37" s="704"/>
      <c r="UUF37" s="704"/>
      <c r="UUG37" s="704"/>
      <c r="UUH37" s="704"/>
      <c r="UUI37" s="704"/>
      <c r="UUJ37" s="704"/>
      <c r="UUK37" s="704"/>
      <c r="UUL37" s="704"/>
      <c r="UUM37" s="704"/>
      <c r="UUN37" s="704"/>
      <c r="UUO37" s="704"/>
      <c r="UUP37" s="704"/>
      <c r="UUQ37" s="704"/>
      <c r="UUR37" s="704"/>
      <c r="UUS37" s="704"/>
      <c r="UUT37" s="704"/>
      <c r="UUU37" s="704"/>
      <c r="UUV37" s="704"/>
      <c r="UUW37" s="704"/>
      <c r="UUX37" s="704"/>
      <c r="UUY37" s="704"/>
      <c r="UUZ37" s="704"/>
      <c r="UVA37" s="704"/>
      <c r="UVB37" s="704"/>
      <c r="UVC37" s="704"/>
      <c r="UVD37" s="704"/>
      <c r="UVE37" s="704"/>
      <c r="UVF37" s="704"/>
      <c r="UVG37" s="704"/>
      <c r="UVH37" s="704"/>
      <c r="UVI37" s="704"/>
      <c r="UVJ37" s="704"/>
      <c r="UVK37" s="704"/>
      <c r="UVL37" s="704"/>
      <c r="UVM37" s="704"/>
      <c r="UVN37" s="704"/>
      <c r="UVO37" s="704"/>
      <c r="UVP37" s="704"/>
      <c r="UVQ37" s="704"/>
      <c r="UVR37" s="704"/>
      <c r="UVS37" s="704"/>
      <c r="UVT37" s="704"/>
      <c r="UVU37" s="704"/>
      <c r="UVV37" s="704"/>
      <c r="UVW37" s="704"/>
      <c r="UVX37" s="704"/>
      <c r="UVY37" s="704"/>
      <c r="UVZ37" s="704"/>
      <c r="UWA37" s="704"/>
      <c r="UWB37" s="704"/>
      <c r="UWC37" s="704"/>
      <c r="UWD37" s="704"/>
      <c r="UWE37" s="704"/>
      <c r="UWF37" s="704"/>
      <c r="UWG37" s="704"/>
      <c r="UWH37" s="704"/>
      <c r="UWI37" s="704"/>
      <c r="UWJ37" s="704"/>
      <c r="UWK37" s="704"/>
      <c r="UWL37" s="704"/>
      <c r="UWM37" s="704"/>
      <c r="UWN37" s="704"/>
      <c r="UWO37" s="704"/>
      <c r="UWP37" s="704"/>
      <c r="UWQ37" s="704"/>
      <c r="UWR37" s="704"/>
      <c r="UWS37" s="704"/>
      <c r="UWT37" s="704"/>
      <c r="UWU37" s="704"/>
      <c r="UWV37" s="704"/>
      <c r="UWW37" s="704"/>
      <c r="UWX37" s="704"/>
      <c r="UWY37" s="704"/>
      <c r="UWZ37" s="704"/>
      <c r="UXA37" s="704"/>
      <c r="UXB37" s="704"/>
      <c r="UXC37" s="704"/>
      <c r="UXD37" s="704"/>
      <c r="UXE37" s="704"/>
      <c r="UXF37" s="704"/>
      <c r="UXG37" s="704"/>
      <c r="UXH37" s="704"/>
      <c r="UXI37" s="704"/>
      <c r="UXJ37" s="704"/>
      <c r="UXK37" s="704"/>
      <c r="UXL37" s="704"/>
      <c r="UXM37" s="704"/>
      <c r="UXN37" s="704"/>
      <c r="UXO37" s="704"/>
      <c r="UXP37" s="704"/>
      <c r="UXQ37" s="704"/>
      <c r="UXR37" s="704"/>
      <c r="UXS37" s="704"/>
      <c r="UXT37" s="704"/>
      <c r="UXU37" s="704"/>
      <c r="UXV37" s="704"/>
      <c r="UXW37" s="704"/>
      <c r="UXX37" s="704"/>
      <c r="UXY37" s="704"/>
      <c r="UXZ37" s="704"/>
      <c r="UYA37" s="704"/>
      <c r="UYB37" s="704"/>
      <c r="UYC37" s="704"/>
      <c r="UYD37" s="704"/>
      <c r="UYE37" s="704"/>
      <c r="UYF37" s="704"/>
      <c r="UYG37" s="704"/>
      <c r="UYH37" s="704"/>
      <c r="UYI37" s="704"/>
      <c r="UYJ37" s="704"/>
      <c r="UYK37" s="704"/>
      <c r="UYL37" s="704"/>
      <c r="UYM37" s="704"/>
      <c r="UYN37" s="704"/>
      <c r="UYO37" s="704"/>
      <c r="UYP37" s="704"/>
      <c r="UYQ37" s="704"/>
      <c r="UYR37" s="704"/>
      <c r="UYS37" s="704"/>
      <c r="UYT37" s="704"/>
      <c r="UYU37" s="704"/>
      <c r="UYV37" s="704"/>
      <c r="UYW37" s="704"/>
      <c r="UYX37" s="704"/>
      <c r="UYY37" s="704"/>
      <c r="UYZ37" s="704"/>
      <c r="UZA37" s="704"/>
      <c r="UZB37" s="704"/>
      <c r="UZC37" s="704"/>
      <c r="UZD37" s="704"/>
      <c r="UZE37" s="704"/>
      <c r="UZF37" s="704"/>
      <c r="UZG37" s="704"/>
      <c r="UZH37" s="704"/>
      <c r="UZI37" s="704"/>
      <c r="UZJ37" s="704"/>
      <c r="UZK37" s="704"/>
      <c r="UZL37" s="704"/>
      <c r="UZM37" s="704"/>
      <c r="UZN37" s="704"/>
      <c r="UZO37" s="704"/>
      <c r="UZP37" s="704"/>
      <c r="UZQ37" s="704"/>
      <c r="UZR37" s="704"/>
      <c r="UZS37" s="704"/>
      <c r="UZT37" s="704"/>
      <c r="UZU37" s="704"/>
      <c r="UZV37" s="704"/>
      <c r="UZW37" s="704"/>
      <c r="UZX37" s="704"/>
      <c r="UZY37" s="704"/>
      <c r="UZZ37" s="704"/>
      <c r="VAA37" s="704"/>
      <c r="VAB37" s="704"/>
      <c r="VAC37" s="704"/>
      <c r="VAD37" s="704"/>
      <c r="VAE37" s="704"/>
      <c r="VAF37" s="704"/>
      <c r="VAG37" s="704"/>
      <c r="VAH37" s="704"/>
      <c r="VAI37" s="704"/>
      <c r="VAJ37" s="704"/>
      <c r="VAK37" s="704"/>
      <c r="VAL37" s="704"/>
      <c r="VAM37" s="704"/>
      <c r="VAN37" s="704"/>
      <c r="VAO37" s="704"/>
      <c r="VAP37" s="704"/>
      <c r="VAQ37" s="704"/>
      <c r="VAR37" s="704"/>
      <c r="VAS37" s="704"/>
      <c r="VAT37" s="704"/>
      <c r="VAU37" s="704"/>
      <c r="VAV37" s="704"/>
      <c r="VAW37" s="704"/>
      <c r="VAX37" s="704"/>
      <c r="VAY37" s="704"/>
      <c r="VAZ37" s="704"/>
      <c r="VBA37" s="704"/>
      <c r="VBB37" s="704"/>
      <c r="VBC37" s="704"/>
      <c r="VBD37" s="704"/>
      <c r="VBE37" s="704"/>
      <c r="VBF37" s="704"/>
      <c r="VBG37" s="704"/>
      <c r="VBH37" s="704"/>
      <c r="VBI37" s="704"/>
      <c r="VBJ37" s="704"/>
      <c r="VBK37" s="704"/>
      <c r="VBL37" s="704"/>
      <c r="VBM37" s="704"/>
      <c r="VBN37" s="704"/>
      <c r="VBO37" s="704"/>
      <c r="VBP37" s="704"/>
      <c r="VBQ37" s="704"/>
      <c r="VBR37" s="704"/>
      <c r="VBS37" s="704"/>
      <c r="VBT37" s="704"/>
      <c r="VBU37" s="704"/>
      <c r="VBV37" s="704"/>
      <c r="VBW37" s="704"/>
      <c r="VBX37" s="704"/>
      <c r="VBY37" s="704"/>
      <c r="VBZ37" s="704"/>
      <c r="VCA37" s="704"/>
      <c r="VCB37" s="704"/>
      <c r="VCC37" s="704"/>
      <c r="VCD37" s="704"/>
      <c r="VCE37" s="704"/>
      <c r="VCF37" s="704"/>
      <c r="VCG37" s="704"/>
      <c r="VCH37" s="704"/>
      <c r="VCI37" s="704"/>
      <c r="VCJ37" s="704"/>
      <c r="VCK37" s="704"/>
      <c r="VCL37" s="704"/>
      <c r="VCM37" s="704"/>
      <c r="VCN37" s="704"/>
      <c r="VCO37" s="704"/>
      <c r="VCP37" s="704"/>
      <c r="VCQ37" s="704"/>
      <c r="VCR37" s="704"/>
      <c r="VCS37" s="704"/>
      <c r="VCT37" s="704"/>
      <c r="VCU37" s="704"/>
      <c r="VCV37" s="704"/>
      <c r="VCW37" s="704"/>
      <c r="VCX37" s="704"/>
      <c r="VCY37" s="704"/>
      <c r="VCZ37" s="704"/>
      <c r="VDA37" s="704"/>
      <c r="VDB37" s="704"/>
      <c r="VDC37" s="704"/>
      <c r="VDD37" s="704"/>
      <c r="VDE37" s="704"/>
      <c r="VDF37" s="704"/>
      <c r="VDG37" s="704"/>
      <c r="VDH37" s="704"/>
      <c r="VDI37" s="704"/>
      <c r="VDJ37" s="704"/>
      <c r="VDK37" s="704"/>
      <c r="VDL37" s="704"/>
      <c r="VDM37" s="704"/>
      <c r="VDN37" s="704"/>
      <c r="VDO37" s="704"/>
      <c r="VDP37" s="704"/>
      <c r="VDQ37" s="704"/>
      <c r="VDR37" s="704"/>
      <c r="VDS37" s="704"/>
      <c r="VDT37" s="704"/>
      <c r="VDU37" s="704"/>
      <c r="VDV37" s="704"/>
      <c r="VDW37" s="704"/>
      <c r="VDX37" s="704"/>
      <c r="VDY37" s="704"/>
      <c r="VDZ37" s="704"/>
      <c r="VEA37" s="704"/>
      <c r="VEB37" s="704"/>
      <c r="VEC37" s="704"/>
      <c r="VED37" s="704"/>
      <c r="VEE37" s="704"/>
      <c r="VEF37" s="704"/>
      <c r="VEG37" s="704"/>
      <c r="VEH37" s="704"/>
      <c r="VEI37" s="704"/>
      <c r="VEJ37" s="704"/>
      <c r="VEK37" s="704"/>
      <c r="VEL37" s="704"/>
      <c r="VEM37" s="704"/>
      <c r="VEN37" s="704"/>
      <c r="VEO37" s="704"/>
      <c r="VEP37" s="704"/>
      <c r="VEQ37" s="704"/>
      <c r="VER37" s="704"/>
      <c r="VES37" s="704"/>
      <c r="VET37" s="704"/>
      <c r="VEU37" s="704"/>
      <c r="VEV37" s="704"/>
      <c r="VEW37" s="704"/>
      <c r="VEX37" s="704"/>
      <c r="VEY37" s="704"/>
      <c r="VEZ37" s="704"/>
      <c r="VFA37" s="704"/>
      <c r="VFB37" s="704"/>
      <c r="VFC37" s="704"/>
      <c r="VFD37" s="704"/>
      <c r="VFE37" s="704"/>
      <c r="VFF37" s="704"/>
      <c r="VFG37" s="704"/>
      <c r="VFH37" s="704"/>
      <c r="VFI37" s="704"/>
      <c r="VFJ37" s="704"/>
      <c r="VFK37" s="704"/>
      <c r="VFL37" s="704"/>
      <c r="VFM37" s="704"/>
      <c r="VFN37" s="704"/>
      <c r="VFO37" s="704"/>
      <c r="VFP37" s="704"/>
      <c r="VFQ37" s="704"/>
      <c r="VFR37" s="704"/>
      <c r="VFS37" s="704"/>
      <c r="VFT37" s="704"/>
      <c r="VFU37" s="704"/>
      <c r="VFV37" s="704"/>
      <c r="VFW37" s="704"/>
      <c r="VFX37" s="704"/>
      <c r="VFY37" s="704"/>
      <c r="VFZ37" s="704"/>
      <c r="VGA37" s="704"/>
      <c r="VGB37" s="704"/>
      <c r="VGC37" s="704"/>
      <c r="VGD37" s="704"/>
      <c r="VGE37" s="704"/>
      <c r="VGF37" s="704"/>
      <c r="VGG37" s="704"/>
      <c r="VGH37" s="704"/>
      <c r="VGI37" s="704"/>
      <c r="VGJ37" s="704"/>
      <c r="VGK37" s="704"/>
      <c r="VGL37" s="704"/>
      <c r="VGM37" s="704"/>
      <c r="VGN37" s="704"/>
      <c r="VGO37" s="704"/>
      <c r="VGP37" s="704"/>
      <c r="VGQ37" s="704"/>
      <c r="VGR37" s="704"/>
      <c r="VGS37" s="704"/>
      <c r="VGT37" s="704"/>
      <c r="VGU37" s="704"/>
      <c r="VGV37" s="704"/>
      <c r="VGW37" s="704"/>
      <c r="VGX37" s="704"/>
      <c r="VGY37" s="704"/>
      <c r="VGZ37" s="704"/>
      <c r="VHA37" s="704"/>
      <c r="VHB37" s="704"/>
      <c r="VHC37" s="704"/>
      <c r="VHD37" s="704"/>
      <c r="VHE37" s="704"/>
      <c r="VHF37" s="704"/>
      <c r="VHG37" s="704"/>
      <c r="VHH37" s="704"/>
      <c r="VHI37" s="704"/>
      <c r="VHJ37" s="704"/>
      <c r="VHK37" s="704"/>
      <c r="VHL37" s="704"/>
      <c r="VHM37" s="704"/>
      <c r="VHN37" s="704"/>
      <c r="VHO37" s="704"/>
      <c r="VHP37" s="704"/>
      <c r="VHQ37" s="704"/>
      <c r="VHR37" s="704"/>
      <c r="VHS37" s="704"/>
      <c r="VHT37" s="704"/>
      <c r="VHU37" s="704"/>
      <c r="VHV37" s="704"/>
      <c r="VHW37" s="704"/>
      <c r="VHX37" s="704"/>
      <c r="VHY37" s="704"/>
      <c r="VHZ37" s="704"/>
      <c r="VIA37" s="704"/>
      <c r="VIB37" s="704"/>
      <c r="VIC37" s="704"/>
      <c r="VID37" s="704"/>
      <c r="VIE37" s="704"/>
      <c r="VIF37" s="704"/>
      <c r="VIG37" s="704"/>
      <c r="VIH37" s="704"/>
      <c r="VII37" s="704"/>
      <c r="VIJ37" s="704"/>
      <c r="VIK37" s="704"/>
      <c r="VIL37" s="704"/>
      <c r="VIM37" s="704"/>
      <c r="VIN37" s="704"/>
      <c r="VIO37" s="704"/>
      <c r="VIP37" s="704"/>
      <c r="VIQ37" s="704"/>
      <c r="VIR37" s="704"/>
      <c r="VIS37" s="704"/>
      <c r="VIT37" s="704"/>
      <c r="VIU37" s="704"/>
      <c r="VIV37" s="704"/>
      <c r="VIW37" s="704"/>
      <c r="VIX37" s="704"/>
      <c r="VIY37" s="704"/>
      <c r="VIZ37" s="704"/>
      <c r="VJA37" s="704"/>
      <c r="VJB37" s="704"/>
      <c r="VJC37" s="704"/>
      <c r="VJD37" s="704"/>
      <c r="VJE37" s="704"/>
      <c r="VJF37" s="704"/>
      <c r="VJG37" s="704"/>
      <c r="VJH37" s="704"/>
      <c r="VJI37" s="704"/>
      <c r="VJJ37" s="704"/>
      <c r="VJK37" s="704"/>
      <c r="VJL37" s="704"/>
      <c r="VJM37" s="704"/>
      <c r="VJN37" s="704"/>
      <c r="VJO37" s="704"/>
      <c r="VJP37" s="704"/>
      <c r="VJQ37" s="704"/>
      <c r="VJR37" s="704"/>
      <c r="VJS37" s="704"/>
      <c r="VJT37" s="704"/>
      <c r="VJU37" s="704"/>
      <c r="VJV37" s="704"/>
      <c r="VJW37" s="704"/>
      <c r="VJX37" s="704"/>
      <c r="VJY37" s="704"/>
      <c r="VJZ37" s="704"/>
      <c r="VKA37" s="704"/>
      <c r="VKB37" s="704"/>
      <c r="VKC37" s="704"/>
      <c r="VKD37" s="704"/>
      <c r="VKE37" s="704"/>
      <c r="VKF37" s="704"/>
      <c r="VKG37" s="704"/>
      <c r="VKH37" s="704"/>
      <c r="VKI37" s="704"/>
      <c r="VKJ37" s="704"/>
      <c r="VKK37" s="704"/>
      <c r="VKL37" s="704"/>
      <c r="VKM37" s="704"/>
      <c r="VKN37" s="704"/>
      <c r="VKO37" s="704"/>
      <c r="VKP37" s="704"/>
      <c r="VKQ37" s="704"/>
      <c r="VKR37" s="704"/>
      <c r="VKS37" s="704"/>
      <c r="VKT37" s="704"/>
      <c r="VKU37" s="704"/>
      <c r="VKV37" s="704"/>
      <c r="VKW37" s="704"/>
      <c r="VKX37" s="704"/>
      <c r="VKY37" s="704"/>
      <c r="VKZ37" s="704"/>
      <c r="VLA37" s="704"/>
      <c r="VLB37" s="704"/>
      <c r="VLC37" s="704"/>
      <c r="VLD37" s="704"/>
      <c r="VLE37" s="704"/>
      <c r="VLF37" s="704"/>
      <c r="VLG37" s="704"/>
      <c r="VLH37" s="704"/>
      <c r="VLI37" s="704"/>
      <c r="VLJ37" s="704"/>
      <c r="VLK37" s="704"/>
      <c r="VLL37" s="704"/>
      <c r="VLM37" s="704"/>
      <c r="VLN37" s="704"/>
      <c r="VLO37" s="704"/>
      <c r="VLP37" s="704"/>
      <c r="VLQ37" s="704"/>
      <c r="VLR37" s="704"/>
      <c r="VLS37" s="704"/>
      <c r="VLT37" s="704"/>
      <c r="VLU37" s="704"/>
      <c r="VLV37" s="704"/>
      <c r="VLW37" s="704"/>
      <c r="VLX37" s="704"/>
      <c r="VLY37" s="704"/>
      <c r="VLZ37" s="704"/>
      <c r="VMA37" s="704"/>
      <c r="VMB37" s="704"/>
      <c r="VMC37" s="704"/>
      <c r="VMD37" s="704"/>
      <c r="VME37" s="704"/>
      <c r="VMF37" s="704"/>
      <c r="VMG37" s="704"/>
      <c r="VMH37" s="704"/>
      <c r="VMI37" s="704"/>
      <c r="VMJ37" s="704"/>
      <c r="VMK37" s="704"/>
      <c r="VML37" s="704"/>
      <c r="VMM37" s="704"/>
      <c r="VMN37" s="704"/>
      <c r="VMO37" s="704"/>
      <c r="VMP37" s="704"/>
      <c r="VMQ37" s="704"/>
      <c r="VMR37" s="704"/>
      <c r="VMS37" s="704"/>
      <c r="VMT37" s="704"/>
      <c r="VMU37" s="704"/>
      <c r="VMV37" s="704"/>
      <c r="VMW37" s="704"/>
      <c r="VMX37" s="704"/>
      <c r="VMY37" s="704"/>
      <c r="VMZ37" s="704"/>
      <c r="VNA37" s="704"/>
      <c r="VNB37" s="704"/>
      <c r="VNC37" s="704"/>
      <c r="VND37" s="704"/>
      <c r="VNE37" s="704"/>
      <c r="VNF37" s="704"/>
      <c r="VNG37" s="704"/>
      <c r="VNH37" s="704"/>
      <c r="VNI37" s="704"/>
      <c r="VNJ37" s="704"/>
      <c r="VNK37" s="704"/>
      <c r="VNL37" s="704"/>
      <c r="VNM37" s="704"/>
      <c r="VNN37" s="704"/>
      <c r="VNO37" s="704"/>
      <c r="VNP37" s="704"/>
      <c r="VNQ37" s="704"/>
      <c r="VNR37" s="704"/>
      <c r="VNS37" s="704"/>
      <c r="VNT37" s="704"/>
      <c r="VNU37" s="704"/>
      <c r="VNV37" s="704"/>
      <c r="VNW37" s="704"/>
      <c r="VNX37" s="704"/>
      <c r="VNY37" s="704"/>
      <c r="VNZ37" s="704"/>
      <c r="VOA37" s="704"/>
      <c r="VOB37" s="704"/>
      <c r="VOC37" s="704"/>
      <c r="VOD37" s="704"/>
      <c r="VOE37" s="704"/>
      <c r="VOF37" s="704"/>
      <c r="VOG37" s="704"/>
      <c r="VOH37" s="704"/>
      <c r="VOI37" s="704"/>
      <c r="VOJ37" s="704"/>
      <c r="VOK37" s="704"/>
      <c r="VOL37" s="704"/>
      <c r="VOM37" s="704"/>
      <c r="VON37" s="704"/>
      <c r="VOO37" s="704"/>
      <c r="VOP37" s="704"/>
      <c r="VOQ37" s="704"/>
      <c r="VOR37" s="704"/>
      <c r="VOS37" s="704"/>
      <c r="VOT37" s="704"/>
      <c r="VOU37" s="704"/>
      <c r="VOV37" s="704"/>
      <c r="VOW37" s="704"/>
      <c r="VOX37" s="704"/>
      <c r="VOY37" s="704"/>
      <c r="VOZ37" s="704"/>
      <c r="VPA37" s="704"/>
      <c r="VPB37" s="704"/>
      <c r="VPC37" s="704"/>
      <c r="VPD37" s="704"/>
      <c r="VPE37" s="704"/>
      <c r="VPF37" s="704"/>
      <c r="VPG37" s="704"/>
      <c r="VPH37" s="704"/>
      <c r="VPI37" s="704"/>
      <c r="VPJ37" s="704"/>
      <c r="VPK37" s="704"/>
      <c r="VPL37" s="704"/>
      <c r="VPM37" s="704"/>
      <c r="VPN37" s="704"/>
      <c r="VPO37" s="704"/>
      <c r="VPP37" s="704"/>
      <c r="VPQ37" s="704"/>
      <c r="VPR37" s="704"/>
      <c r="VPS37" s="704"/>
      <c r="VPT37" s="704"/>
      <c r="VPU37" s="704"/>
      <c r="VPV37" s="704"/>
      <c r="VPW37" s="704"/>
      <c r="VPX37" s="704"/>
      <c r="VPY37" s="704"/>
      <c r="VPZ37" s="704"/>
      <c r="VQA37" s="704"/>
      <c r="VQB37" s="704"/>
      <c r="VQC37" s="704"/>
      <c r="VQD37" s="704"/>
      <c r="VQE37" s="704"/>
      <c r="VQF37" s="704"/>
      <c r="VQG37" s="704"/>
      <c r="VQH37" s="704"/>
      <c r="VQI37" s="704"/>
      <c r="VQJ37" s="704"/>
      <c r="VQK37" s="704"/>
      <c r="VQL37" s="704"/>
      <c r="VQM37" s="704"/>
      <c r="VQN37" s="704"/>
      <c r="VQO37" s="704"/>
      <c r="VQP37" s="704"/>
      <c r="VQQ37" s="704"/>
      <c r="VQR37" s="704"/>
      <c r="VQS37" s="704"/>
      <c r="VQT37" s="704"/>
      <c r="VQU37" s="704"/>
      <c r="VQV37" s="704"/>
      <c r="VQW37" s="704"/>
      <c r="VQX37" s="704"/>
      <c r="VQY37" s="704"/>
      <c r="VQZ37" s="704"/>
      <c r="VRA37" s="704"/>
      <c r="VRB37" s="704"/>
      <c r="VRC37" s="704"/>
      <c r="VRD37" s="704"/>
      <c r="VRE37" s="704"/>
      <c r="VRF37" s="704"/>
      <c r="VRG37" s="704"/>
      <c r="VRH37" s="704"/>
      <c r="VRI37" s="704"/>
      <c r="VRJ37" s="704"/>
      <c r="VRK37" s="704"/>
      <c r="VRL37" s="704"/>
      <c r="VRM37" s="704"/>
      <c r="VRN37" s="704"/>
      <c r="VRO37" s="704"/>
      <c r="VRP37" s="704"/>
      <c r="VRQ37" s="704"/>
      <c r="VRR37" s="704"/>
      <c r="VRS37" s="704"/>
      <c r="VRT37" s="704"/>
      <c r="VRU37" s="704"/>
      <c r="VRV37" s="704"/>
      <c r="VRW37" s="704"/>
      <c r="VRX37" s="704"/>
      <c r="VRY37" s="704"/>
      <c r="VRZ37" s="704"/>
      <c r="VSA37" s="704"/>
      <c r="VSB37" s="704"/>
      <c r="VSC37" s="704"/>
      <c r="VSD37" s="704"/>
      <c r="VSE37" s="704"/>
      <c r="VSF37" s="704"/>
      <c r="VSG37" s="704"/>
      <c r="VSH37" s="704"/>
      <c r="VSI37" s="704"/>
      <c r="VSJ37" s="704"/>
      <c r="VSK37" s="704"/>
      <c r="VSL37" s="704"/>
      <c r="VSM37" s="704"/>
      <c r="VSN37" s="704"/>
      <c r="VSO37" s="704"/>
      <c r="VSP37" s="704"/>
      <c r="VSQ37" s="704"/>
      <c r="VSR37" s="704"/>
      <c r="VSS37" s="704"/>
      <c r="VST37" s="704"/>
      <c r="VSU37" s="704"/>
      <c r="VSV37" s="704"/>
      <c r="VSW37" s="704"/>
      <c r="VSX37" s="704"/>
      <c r="VSY37" s="704"/>
      <c r="VSZ37" s="704"/>
      <c r="VTA37" s="704"/>
      <c r="VTB37" s="704"/>
      <c r="VTC37" s="704"/>
      <c r="VTD37" s="704"/>
      <c r="VTE37" s="704"/>
      <c r="VTF37" s="704"/>
      <c r="VTG37" s="704"/>
      <c r="VTH37" s="704"/>
      <c r="VTI37" s="704"/>
      <c r="VTJ37" s="704"/>
      <c r="VTK37" s="704"/>
      <c r="VTL37" s="704"/>
      <c r="VTM37" s="704"/>
      <c r="VTN37" s="704"/>
      <c r="VTO37" s="704"/>
      <c r="VTP37" s="704"/>
      <c r="VTQ37" s="704"/>
      <c r="VTR37" s="704"/>
      <c r="VTS37" s="704"/>
      <c r="VTT37" s="704"/>
      <c r="VTU37" s="704"/>
      <c r="VTV37" s="704"/>
      <c r="VTW37" s="704"/>
      <c r="VTX37" s="704"/>
      <c r="VTY37" s="704"/>
      <c r="VTZ37" s="704"/>
      <c r="VUA37" s="704"/>
      <c r="VUB37" s="704"/>
      <c r="VUC37" s="704"/>
      <c r="VUD37" s="704"/>
      <c r="VUE37" s="704"/>
      <c r="VUF37" s="704"/>
      <c r="VUG37" s="704"/>
      <c r="VUH37" s="704"/>
      <c r="VUI37" s="704"/>
      <c r="VUJ37" s="704"/>
      <c r="VUK37" s="704"/>
      <c r="VUL37" s="704"/>
      <c r="VUM37" s="704"/>
      <c r="VUN37" s="704"/>
      <c r="VUO37" s="704"/>
      <c r="VUP37" s="704"/>
      <c r="VUQ37" s="704"/>
      <c r="VUR37" s="704"/>
      <c r="VUS37" s="704"/>
      <c r="VUT37" s="704"/>
      <c r="VUU37" s="704"/>
      <c r="VUV37" s="704"/>
      <c r="VUW37" s="704"/>
      <c r="VUX37" s="704"/>
      <c r="VUY37" s="704"/>
      <c r="VUZ37" s="704"/>
      <c r="VVA37" s="704"/>
      <c r="VVB37" s="704"/>
      <c r="VVC37" s="704"/>
      <c r="VVD37" s="704"/>
      <c r="VVE37" s="704"/>
      <c r="VVF37" s="704"/>
      <c r="VVG37" s="704"/>
      <c r="VVH37" s="704"/>
      <c r="VVI37" s="704"/>
      <c r="VVJ37" s="704"/>
      <c r="VVK37" s="704"/>
      <c r="VVL37" s="704"/>
      <c r="VVM37" s="704"/>
      <c r="VVN37" s="704"/>
      <c r="VVO37" s="704"/>
      <c r="VVP37" s="704"/>
      <c r="VVQ37" s="704"/>
      <c r="VVR37" s="704"/>
      <c r="VVS37" s="704"/>
      <c r="VVT37" s="704"/>
      <c r="VVU37" s="704"/>
      <c r="VVV37" s="704"/>
      <c r="VVW37" s="704"/>
      <c r="VVX37" s="704"/>
      <c r="VVY37" s="704"/>
      <c r="VVZ37" s="704"/>
      <c r="VWA37" s="704"/>
      <c r="VWB37" s="704"/>
      <c r="VWC37" s="704"/>
      <c r="VWD37" s="704"/>
      <c r="VWE37" s="704"/>
      <c r="VWF37" s="704"/>
      <c r="VWG37" s="704"/>
      <c r="VWH37" s="704"/>
      <c r="VWI37" s="704"/>
      <c r="VWJ37" s="704"/>
      <c r="VWK37" s="704"/>
      <c r="VWL37" s="704"/>
      <c r="VWM37" s="704"/>
      <c r="VWN37" s="704"/>
      <c r="VWO37" s="704"/>
      <c r="VWP37" s="704"/>
      <c r="VWQ37" s="704"/>
      <c r="VWR37" s="704"/>
      <c r="VWS37" s="704"/>
      <c r="VWT37" s="704"/>
      <c r="VWU37" s="704"/>
      <c r="VWV37" s="704"/>
      <c r="VWW37" s="704"/>
      <c r="VWX37" s="704"/>
      <c r="VWY37" s="704"/>
      <c r="VWZ37" s="704"/>
      <c r="VXA37" s="704"/>
      <c r="VXB37" s="704"/>
      <c r="VXC37" s="704"/>
      <c r="VXD37" s="704"/>
      <c r="VXE37" s="704"/>
      <c r="VXF37" s="704"/>
      <c r="VXG37" s="704"/>
      <c r="VXH37" s="704"/>
      <c r="VXI37" s="704"/>
      <c r="VXJ37" s="704"/>
      <c r="VXK37" s="704"/>
      <c r="VXL37" s="704"/>
      <c r="VXM37" s="704"/>
      <c r="VXN37" s="704"/>
      <c r="VXO37" s="704"/>
      <c r="VXP37" s="704"/>
      <c r="VXQ37" s="704"/>
      <c r="VXR37" s="704"/>
      <c r="VXS37" s="704"/>
      <c r="VXT37" s="704"/>
      <c r="VXU37" s="704"/>
      <c r="VXV37" s="704"/>
      <c r="VXW37" s="704"/>
      <c r="VXX37" s="704"/>
      <c r="VXY37" s="704"/>
      <c r="VXZ37" s="704"/>
      <c r="VYA37" s="704"/>
      <c r="VYB37" s="704"/>
      <c r="VYC37" s="704"/>
      <c r="VYD37" s="704"/>
      <c r="VYE37" s="704"/>
      <c r="VYF37" s="704"/>
      <c r="VYG37" s="704"/>
      <c r="VYH37" s="704"/>
      <c r="VYI37" s="704"/>
      <c r="VYJ37" s="704"/>
      <c r="VYK37" s="704"/>
      <c r="VYL37" s="704"/>
      <c r="VYM37" s="704"/>
      <c r="VYN37" s="704"/>
      <c r="VYO37" s="704"/>
      <c r="VYP37" s="704"/>
      <c r="VYQ37" s="704"/>
      <c r="VYR37" s="704"/>
      <c r="VYS37" s="704"/>
      <c r="VYT37" s="704"/>
      <c r="VYU37" s="704"/>
      <c r="VYV37" s="704"/>
      <c r="VYW37" s="704"/>
      <c r="VYX37" s="704"/>
      <c r="VYY37" s="704"/>
      <c r="VYZ37" s="704"/>
      <c r="VZA37" s="704"/>
      <c r="VZB37" s="704"/>
      <c r="VZC37" s="704"/>
      <c r="VZD37" s="704"/>
      <c r="VZE37" s="704"/>
      <c r="VZF37" s="704"/>
      <c r="VZG37" s="704"/>
      <c r="VZH37" s="704"/>
      <c r="VZI37" s="704"/>
      <c r="VZJ37" s="704"/>
      <c r="VZK37" s="704"/>
      <c r="VZL37" s="704"/>
      <c r="VZM37" s="704"/>
      <c r="VZN37" s="704"/>
      <c r="VZO37" s="704"/>
      <c r="VZP37" s="704"/>
      <c r="VZQ37" s="704"/>
      <c r="VZR37" s="704"/>
      <c r="VZS37" s="704"/>
      <c r="VZT37" s="704"/>
      <c r="VZU37" s="704"/>
      <c r="VZV37" s="704"/>
      <c r="VZW37" s="704"/>
      <c r="VZX37" s="704"/>
      <c r="VZY37" s="704"/>
      <c r="VZZ37" s="704"/>
      <c r="WAA37" s="704"/>
      <c r="WAB37" s="704"/>
      <c r="WAC37" s="704"/>
      <c r="WAD37" s="704"/>
      <c r="WAE37" s="704"/>
      <c r="WAF37" s="704"/>
      <c r="WAG37" s="704"/>
      <c r="WAH37" s="704"/>
      <c r="WAI37" s="704"/>
      <c r="WAJ37" s="704"/>
      <c r="WAK37" s="704"/>
      <c r="WAL37" s="704"/>
      <c r="WAM37" s="704"/>
      <c r="WAN37" s="704"/>
      <c r="WAO37" s="704"/>
      <c r="WAP37" s="704"/>
      <c r="WAQ37" s="704"/>
      <c r="WAR37" s="704"/>
      <c r="WAS37" s="704"/>
      <c r="WAT37" s="704"/>
      <c r="WAU37" s="704"/>
      <c r="WAV37" s="704"/>
      <c r="WAW37" s="704"/>
      <c r="WAX37" s="704"/>
      <c r="WAY37" s="704"/>
      <c r="WAZ37" s="704"/>
      <c r="WBA37" s="704"/>
      <c r="WBB37" s="704"/>
      <c r="WBC37" s="704"/>
      <c r="WBD37" s="704"/>
      <c r="WBE37" s="704"/>
      <c r="WBF37" s="704"/>
      <c r="WBG37" s="704"/>
      <c r="WBH37" s="704"/>
      <c r="WBI37" s="704"/>
      <c r="WBJ37" s="704"/>
      <c r="WBK37" s="704"/>
      <c r="WBL37" s="704"/>
      <c r="WBM37" s="704"/>
      <c r="WBN37" s="704"/>
      <c r="WBO37" s="704"/>
      <c r="WBP37" s="704"/>
      <c r="WBQ37" s="704"/>
      <c r="WBR37" s="704"/>
      <c r="WBS37" s="704"/>
      <c r="WBT37" s="704"/>
      <c r="WBU37" s="704"/>
      <c r="WBV37" s="704"/>
      <c r="WBW37" s="704"/>
      <c r="WBX37" s="704"/>
      <c r="WBY37" s="704"/>
      <c r="WBZ37" s="704"/>
      <c r="WCA37" s="704"/>
      <c r="WCB37" s="704"/>
      <c r="WCC37" s="704"/>
      <c r="WCD37" s="704"/>
      <c r="WCE37" s="704"/>
      <c r="WCF37" s="704"/>
      <c r="WCG37" s="704"/>
      <c r="WCH37" s="704"/>
      <c r="WCI37" s="704"/>
      <c r="WCJ37" s="704"/>
      <c r="WCK37" s="704"/>
      <c r="WCL37" s="704"/>
      <c r="WCM37" s="704"/>
      <c r="WCN37" s="704"/>
      <c r="WCO37" s="704"/>
      <c r="WCP37" s="704"/>
      <c r="WCQ37" s="704"/>
      <c r="WCR37" s="704"/>
      <c r="WCS37" s="704"/>
      <c r="WCT37" s="704"/>
      <c r="WCU37" s="704"/>
      <c r="WCV37" s="704"/>
      <c r="WCW37" s="704"/>
      <c r="WCX37" s="704"/>
      <c r="WCY37" s="704"/>
      <c r="WCZ37" s="704"/>
      <c r="WDA37" s="704"/>
      <c r="WDB37" s="704"/>
      <c r="WDC37" s="704"/>
      <c r="WDD37" s="704"/>
      <c r="WDE37" s="704"/>
      <c r="WDF37" s="704"/>
      <c r="WDG37" s="704"/>
      <c r="WDH37" s="704"/>
      <c r="WDI37" s="704"/>
      <c r="WDJ37" s="704"/>
      <c r="WDK37" s="704"/>
      <c r="WDL37" s="704"/>
      <c r="WDM37" s="704"/>
      <c r="WDN37" s="704"/>
      <c r="WDO37" s="704"/>
      <c r="WDP37" s="704"/>
      <c r="WDQ37" s="704"/>
      <c r="WDR37" s="704"/>
      <c r="WDS37" s="704"/>
      <c r="WDT37" s="704"/>
      <c r="WDU37" s="704"/>
      <c r="WDV37" s="704"/>
      <c r="WDW37" s="704"/>
      <c r="WDX37" s="704"/>
      <c r="WDY37" s="704"/>
      <c r="WDZ37" s="704"/>
      <c r="WEA37" s="704"/>
      <c r="WEB37" s="704"/>
      <c r="WEC37" s="704"/>
      <c r="WED37" s="704"/>
      <c r="WEE37" s="704"/>
      <c r="WEF37" s="704"/>
      <c r="WEG37" s="704"/>
      <c r="WEH37" s="704"/>
      <c r="WEI37" s="704"/>
      <c r="WEJ37" s="704"/>
      <c r="WEK37" s="704"/>
      <c r="WEL37" s="704"/>
      <c r="WEM37" s="704"/>
      <c r="WEN37" s="704"/>
      <c r="WEO37" s="704"/>
      <c r="WEP37" s="704"/>
      <c r="WEQ37" s="704"/>
      <c r="WER37" s="704"/>
      <c r="WES37" s="704"/>
      <c r="WET37" s="704"/>
      <c r="WEU37" s="704"/>
      <c r="WEV37" s="704"/>
      <c r="WEW37" s="704"/>
      <c r="WEX37" s="704"/>
      <c r="WEY37" s="704"/>
      <c r="WEZ37" s="704"/>
      <c r="WFA37" s="704"/>
      <c r="WFB37" s="704"/>
      <c r="WFC37" s="704"/>
      <c r="WFD37" s="704"/>
      <c r="WFE37" s="704"/>
      <c r="WFF37" s="704"/>
      <c r="WFG37" s="704"/>
      <c r="WFH37" s="704"/>
      <c r="WFI37" s="704"/>
      <c r="WFJ37" s="704"/>
      <c r="WFK37" s="704"/>
      <c r="WFL37" s="704"/>
      <c r="WFM37" s="704"/>
      <c r="WFN37" s="704"/>
      <c r="WFO37" s="704"/>
      <c r="WFP37" s="704"/>
      <c r="WFQ37" s="704"/>
      <c r="WFR37" s="704"/>
      <c r="WFS37" s="704"/>
      <c r="WFT37" s="704"/>
      <c r="WFU37" s="704"/>
      <c r="WFV37" s="704"/>
      <c r="WFW37" s="704"/>
      <c r="WFX37" s="704"/>
      <c r="WFY37" s="704"/>
      <c r="WFZ37" s="704"/>
      <c r="WGA37" s="704"/>
      <c r="WGB37" s="704"/>
      <c r="WGC37" s="704"/>
      <c r="WGD37" s="704"/>
      <c r="WGE37" s="704"/>
      <c r="WGF37" s="704"/>
      <c r="WGG37" s="704"/>
      <c r="WGH37" s="704"/>
      <c r="WGI37" s="704"/>
      <c r="WGJ37" s="704"/>
      <c r="WGK37" s="704"/>
      <c r="WGL37" s="704"/>
      <c r="WGM37" s="704"/>
      <c r="WGN37" s="704"/>
      <c r="WGO37" s="704"/>
      <c r="WGP37" s="704"/>
      <c r="WGQ37" s="704"/>
      <c r="WGR37" s="704"/>
      <c r="WGS37" s="704"/>
      <c r="WGT37" s="704"/>
      <c r="WGU37" s="704"/>
      <c r="WGV37" s="704"/>
      <c r="WGW37" s="704"/>
      <c r="WGX37" s="704"/>
      <c r="WGY37" s="704"/>
      <c r="WGZ37" s="704"/>
      <c r="WHA37" s="704"/>
      <c r="WHB37" s="704"/>
      <c r="WHC37" s="704"/>
      <c r="WHD37" s="704"/>
      <c r="WHE37" s="704"/>
      <c r="WHF37" s="704"/>
      <c r="WHG37" s="704"/>
      <c r="WHH37" s="704"/>
      <c r="WHI37" s="704"/>
      <c r="WHJ37" s="704"/>
      <c r="WHK37" s="704"/>
      <c r="WHL37" s="704"/>
      <c r="WHM37" s="704"/>
      <c r="WHN37" s="704"/>
      <c r="WHO37" s="704"/>
      <c r="WHP37" s="704"/>
      <c r="WHQ37" s="704"/>
      <c r="WHR37" s="704"/>
      <c r="WHS37" s="704"/>
      <c r="WHT37" s="704"/>
      <c r="WHU37" s="704"/>
      <c r="WHV37" s="704"/>
      <c r="WHW37" s="704"/>
      <c r="WHX37" s="704"/>
      <c r="WHY37" s="704"/>
      <c r="WHZ37" s="704"/>
      <c r="WIA37" s="704"/>
      <c r="WIB37" s="704"/>
      <c r="WIC37" s="704"/>
      <c r="WID37" s="704"/>
      <c r="WIE37" s="704"/>
      <c r="WIF37" s="704"/>
      <c r="WIG37" s="704"/>
      <c r="WIH37" s="704"/>
      <c r="WII37" s="704"/>
      <c r="WIJ37" s="704"/>
      <c r="WIK37" s="704"/>
      <c r="WIL37" s="704"/>
      <c r="WIM37" s="704"/>
      <c r="WIN37" s="704"/>
      <c r="WIO37" s="704"/>
      <c r="WIP37" s="704"/>
      <c r="WIQ37" s="704"/>
      <c r="WIR37" s="704"/>
      <c r="WIS37" s="704"/>
      <c r="WIT37" s="704"/>
      <c r="WIU37" s="704"/>
      <c r="WIV37" s="704"/>
      <c r="WIW37" s="704"/>
      <c r="WIX37" s="704"/>
      <c r="WIY37" s="704"/>
      <c r="WIZ37" s="704"/>
      <c r="WJA37" s="704"/>
      <c r="WJB37" s="704"/>
      <c r="WJC37" s="704"/>
      <c r="WJD37" s="704"/>
      <c r="WJE37" s="704"/>
      <c r="WJF37" s="704"/>
      <c r="WJG37" s="704"/>
      <c r="WJH37" s="704"/>
      <c r="WJI37" s="704"/>
      <c r="WJJ37" s="704"/>
      <c r="WJK37" s="704"/>
      <c r="WJL37" s="704"/>
      <c r="WJM37" s="704"/>
      <c r="WJN37" s="704"/>
      <c r="WJO37" s="704"/>
      <c r="WJP37" s="704"/>
      <c r="WJQ37" s="704"/>
      <c r="WJR37" s="704"/>
      <c r="WJS37" s="704"/>
      <c r="WJT37" s="704"/>
      <c r="WJU37" s="704"/>
      <c r="WJV37" s="704"/>
      <c r="WJW37" s="704"/>
      <c r="WJX37" s="704"/>
      <c r="WJY37" s="704"/>
      <c r="WJZ37" s="704"/>
      <c r="WKA37" s="704"/>
      <c r="WKB37" s="704"/>
      <c r="WKC37" s="704"/>
      <c r="WKD37" s="704"/>
      <c r="WKE37" s="704"/>
      <c r="WKF37" s="704"/>
      <c r="WKG37" s="704"/>
      <c r="WKH37" s="704"/>
      <c r="WKI37" s="704"/>
      <c r="WKJ37" s="704"/>
      <c r="WKK37" s="704"/>
      <c r="WKL37" s="704"/>
      <c r="WKM37" s="704"/>
      <c r="WKN37" s="704"/>
      <c r="WKO37" s="704"/>
      <c r="WKP37" s="704"/>
      <c r="WKQ37" s="704"/>
      <c r="WKR37" s="704"/>
      <c r="WKS37" s="704"/>
      <c r="WKT37" s="704"/>
      <c r="WKU37" s="704"/>
      <c r="WKV37" s="704"/>
      <c r="WKW37" s="704"/>
      <c r="WKX37" s="704"/>
      <c r="WKY37" s="704"/>
      <c r="WKZ37" s="704"/>
      <c r="WLA37" s="704"/>
      <c r="WLB37" s="704"/>
      <c r="WLC37" s="704"/>
      <c r="WLD37" s="704"/>
      <c r="WLE37" s="704"/>
      <c r="WLF37" s="704"/>
      <c r="WLG37" s="704"/>
      <c r="WLH37" s="704"/>
      <c r="WLI37" s="704"/>
      <c r="WLJ37" s="704"/>
      <c r="WLK37" s="704"/>
      <c r="WLL37" s="704"/>
      <c r="WLM37" s="704"/>
      <c r="WLN37" s="704"/>
      <c r="WLO37" s="704"/>
      <c r="WLP37" s="704"/>
      <c r="WLQ37" s="704"/>
      <c r="WLR37" s="704"/>
      <c r="WLS37" s="704"/>
      <c r="WLT37" s="704"/>
      <c r="WLU37" s="704"/>
      <c r="WLV37" s="704"/>
      <c r="WLW37" s="704"/>
      <c r="WLX37" s="704"/>
      <c r="WLY37" s="704"/>
      <c r="WLZ37" s="704"/>
      <c r="WMA37" s="704"/>
      <c r="WMB37" s="704"/>
      <c r="WMC37" s="704"/>
      <c r="WMD37" s="704"/>
      <c r="WME37" s="704"/>
      <c r="WMF37" s="704"/>
      <c r="WMG37" s="704"/>
      <c r="WMH37" s="704"/>
      <c r="WMI37" s="704"/>
      <c r="WMJ37" s="704"/>
      <c r="WMK37" s="704"/>
      <c r="WML37" s="704"/>
      <c r="WMM37" s="704"/>
      <c r="WMN37" s="704"/>
      <c r="WMO37" s="704"/>
      <c r="WMP37" s="704"/>
      <c r="WMQ37" s="704"/>
      <c r="WMR37" s="704"/>
      <c r="WMS37" s="704"/>
      <c r="WMT37" s="704"/>
      <c r="WMU37" s="704"/>
      <c r="WMV37" s="704"/>
      <c r="WMW37" s="704"/>
      <c r="WMX37" s="704"/>
      <c r="WMY37" s="704"/>
      <c r="WMZ37" s="704"/>
      <c r="WNA37" s="704"/>
      <c r="WNB37" s="704"/>
      <c r="WNC37" s="704"/>
      <c r="WND37" s="704"/>
      <c r="WNE37" s="704"/>
      <c r="WNF37" s="704"/>
      <c r="WNG37" s="704"/>
      <c r="WNH37" s="704"/>
      <c r="WNI37" s="704"/>
      <c r="WNJ37" s="704"/>
      <c r="WNK37" s="704"/>
      <c r="WNL37" s="704"/>
      <c r="WNM37" s="704"/>
      <c r="WNN37" s="704"/>
      <c r="WNO37" s="704"/>
      <c r="WNP37" s="704"/>
      <c r="WNQ37" s="704"/>
      <c r="WNR37" s="704"/>
      <c r="WNS37" s="704"/>
      <c r="WNT37" s="704"/>
      <c r="WNU37" s="704"/>
      <c r="WNV37" s="704"/>
      <c r="WNW37" s="704"/>
      <c r="WNX37" s="704"/>
      <c r="WNY37" s="704"/>
      <c r="WNZ37" s="704"/>
      <c r="WOA37" s="704"/>
      <c r="WOB37" s="704"/>
      <c r="WOC37" s="704"/>
      <c r="WOD37" s="704"/>
      <c r="WOE37" s="704"/>
      <c r="WOF37" s="704"/>
      <c r="WOG37" s="704"/>
      <c r="WOH37" s="704"/>
      <c r="WOI37" s="704"/>
      <c r="WOJ37" s="704"/>
      <c r="WOK37" s="704"/>
      <c r="WOL37" s="704"/>
      <c r="WOM37" s="704"/>
      <c r="WON37" s="704"/>
      <c r="WOO37" s="704"/>
      <c r="WOP37" s="704"/>
      <c r="WOQ37" s="704"/>
      <c r="WOR37" s="704"/>
      <c r="WOS37" s="704"/>
      <c r="WOT37" s="704"/>
      <c r="WOU37" s="704"/>
      <c r="WOV37" s="704"/>
      <c r="WOW37" s="704"/>
      <c r="WOX37" s="704"/>
      <c r="WOY37" s="704"/>
      <c r="WOZ37" s="704"/>
      <c r="WPA37" s="704"/>
      <c r="WPB37" s="704"/>
      <c r="WPC37" s="704"/>
      <c r="WPD37" s="704"/>
      <c r="WPE37" s="704"/>
      <c r="WPF37" s="704"/>
      <c r="WPG37" s="704"/>
      <c r="WPH37" s="704"/>
      <c r="WPI37" s="704"/>
      <c r="WPJ37" s="704"/>
      <c r="WPK37" s="704"/>
      <c r="WPL37" s="704"/>
      <c r="WPM37" s="704"/>
      <c r="WPN37" s="704"/>
      <c r="WPO37" s="704"/>
      <c r="WPP37" s="704"/>
      <c r="WPQ37" s="704"/>
      <c r="WPR37" s="704"/>
      <c r="WPS37" s="704"/>
      <c r="WPT37" s="704"/>
      <c r="WPU37" s="704"/>
      <c r="WPV37" s="704"/>
      <c r="WPW37" s="704"/>
      <c r="WPX37" s="704"/>
      <c r="WPY37" s="704"/>
      <c r="WPZ37" s="704"/>
      <c r="WQA37" s="704"/>
      <c r="WQB37" s="704"/>
      <c r="WQC37" s="704"/>
      <c r="WQD37" s="704"/>
      <c r="WQE37" s="704"/>
      <c r="WQF37" s="704"/>
      <c r="WQG37" s="704"/>
      <c r="WQH37" s="704"/>
      <c r="WQI37" s="704"/>
      <c r="WQJ37" s="704"/>
      <c r="WQK37" s="704"/>
      <c r="WQL37" s="704"/>
      <c r="WQM37" s="704"/>
      <c r="WQN37" s="704"/>
      <c r="WQO37" s="704"/>
      <c r="WQP37" s="704"/>
      <c r="WQQ37" s="704"/>
      <c r="WQR37" s="704"/>
      <c r="WQS37" s="704"/>
      <c r="WQT37" s="704"/>
      <c r="WQU37" s="704"/>
      <c r="WQV37" s="704"/>
      <c r="WQW37" s="704"/>
      <c r="WQX37" s="704"/>
      <c r="WQY37" s="704"/>
      <c r="WQZ37" s="704"/>
      <c r="WRA37" s="704"/>
      <c r="WRB37" s="704"/>
      <c r="WRC37" s="704"/>
      <c r="WRD37" s="704"/>
      <c r="WRE37" s="704"/>
      <c r="WRF37" s="704"/>
      <c r="WRG37" s="704"/>
      <c r="WRH37" s="704"/>
      <c r="WRI37" s="704"/>
      <c r="WRJ37" s="704"/>
      <c r="WRK37" s="704"/>
      <c r="WRL37" s="704"/>
      <c r="WRM37" s="704"/>
      <c r="WRN37" s="704"/>
      <c r="WRO37" s="704"/>
      <c r="WRP37" s="704"/>
      <c r="WRQ37" s="704"/>
      <c r="WRR37" s="704"/>
      <c r="WRS37" s="704"/>
      <c r="WRT37" s="704"/>
      <c r="WRU37" s="704"/>
      <c r="WRV37" s="704"/>
      <c r="WRW37" s="704"/>
      <c r="WRX37" s="704"/>
      <c r="WRY37" s="704"/>
      <c r="WRZ37" s="704"/>
      <c r="WSA37" s="704"/>
      <c r="WSB37" s="704"/>
      <c r="WSC37" s="704"/>
      <c r="WSD37" s="704"/>
      <c r="WSE37" s="704"/>
      <c r="WSF37" s="704"/>
      <c r="WSG37" s="704"/>
      <c r="WSH37" s="704"/>
      <c r="WSI37" s="704"/>
      <c r="WSJ37" s="704"/>
      <c r="WSK37" s="704"/>
      <c r="WSL37" s="704"/>
      <c r="WSM37" s="704"/>
      <c r="WSN37" s="704"/>
      <c r="WSO37" s="704"/>
      <c r="WSP37" s="704"/>
      <c r="WSQ37" s="704"/>
      <c r="WSR37" s="704"/>
      <c r="WSS37" s="704"/>
      <c r="WST37" s="704"/>
      <c r="WSU37" s="704"/>
      <c r="WSV37" s="704"/>
      <c r="WSW37" s="704"/>
      <c r="WSX37" s="704"/>
      <c r="WSY37" s="704"/>
      <c r="WSZ37" s="704"/>
      <c r="WTA37" s="704"/>
      <c r="WTB37" s="704"/>
      <c r="WTC37" s="704"/>
      <c r="WTD37" s="704"/>
      <c r="WTE37" s="704"/>
      <c r="WTF37" s="704"/>
      <c r="WTG37" s="704"/>
      <c r="WTH37" s="704"/>
      <c r="WTI37" s="704"/>
      <c r="WTJ37" s="704"/>
      <c r="WTK37" s="704"/>
      <c r="WTL37" s="704"/>
      <c r="WTM37" s="704"/>
      <c r="WTN37" s="704"/>
      <c r="WTO37" s="704"/>
      <c r="WTP37" s="704"/>
      <c r="WTQ37" s="704"/>
      <c r="WTR37" s="704"/>
      <c r="WTS37" s="704"/>
      <c r="WTT37" s="704"/>
      <c r="WTU37" s="704"/>
      <c r="WTV37" s="704"/>
      <c r="WTW37" s="704"/>
      <c r="WTX37" s="704"/>
      <c r="WTY37" s="704"/>
      <c r="WTZ37" s="704"/>
      <c r="WUA37" s="704"/>
      <c r="WUB37" s="704"/>
      <c r="WUC37" s="704"/>
      <c r="WUD37" s="704"/>
      <c r="WUE37" s="704"/>
      <c r="WUF37" s="704"/>
      <c r="WUG37" s="704"/>
      <c r="WUH37" s="704"/>
      <c r="WUI37" s="704"/>
      <c r="WUJ37" s="704"/>
      <c r="WUK37" s="704"/>
      <c r="WUL37" s="704"/>
      <c r="WUM37" s="704"/>
      <c r="WUN37" s="704"/>
      <c r="WUO37" s="704"/>
      <c r="WUP37" s="704"/>
      <c r="WUQ37" s="704"/>
      <c r="WUR37" s="704"/>
      <c r="WUS37" s="704"/>
      <c r="WUT37" s="704"/>
      <c r="WUU37" s="704"/>
      <c r="WUV37" s="704"/>
      <c r="WUW37" s="704"/>
      <c r="WUX37" s="704"/>
      <c r="WUY37" s="704"/>
      <c r="WUZ37" s="704"/>
      <c r="WVA37" s="704"/>
      <c r="WVB37" s="704"/>
      <c r="WVC37" s="704"/>
      <c r="WVD37" s="704"/>
      <c r="WVE37" s="704"/>
      <c r="WVF37" s="704"/>
      <c r="WVG37" s="704"/>
      <c r="WVH37" s="704"/>
      <c r="WVI37" s="704"/>
      <c r="WVJ37" s="704"/>
      <c r="WVK37" s="704"/>
      <c r="WVL37" s="704"/>
      <c r="WVM37" s="704"/>
      <c r="WVN37" s="704"/>
      <c r="WVO37" s="704"/>
      <c r="WVP37" s="704"/>
      <c r="WVQ37" s="704"/>
      <c r="WVR37" s="704"/>
      <c r="WVS37" s="704"/>
      <c r="WVT37" s="704"/>
      <c r="WVU37" s="704"/>
      <c r="WVV37" s="704"/>
      <c r="WVW37" s="704"/>
      <c r="WVX37" s="704"/>
      <c r="WVY37" s="704"/>
      <c r="WVZ37" s="704"/>
      <c r="WWA37" s="704"/>
      <c r="WWB37" s="704"/>
      <c r="WWC37" s="704"/>
      <c r="WWD37" s="704"/>
      <c r="WWE37" s="704"/>
      <c r="WWF37" s="704"/>
      <c r="WWG37" s="704"/>
      <c r="WWH37" s="704"/>
      <c r="WWI37" s="704"/>
      <c r="WWJ37" s="704"/>
      <c r="WWK37" s="704"/>
      <c r="WWL37" s="704"/>
      <c r="WWM37" s="704"/>
      <c r="WWN37" s="704"/>
      <c r="WWO37" s="704"/>
      <c r="WWP37" s="704"/>
      <c r="WWQ37" s="704"/>
      <c r="WWR37" s="704"/>
      <c r="WWS37" s="704"/>
      <c r="WWT37" s="704"/>
      <c r="WWU37" s="704"/>
      <c r="WWV37" s="704"/>
      <c r="WWW37" s="704"/>
      <c r="WWX37" s="704"/>
      <c r="WWY37" s="704"/>
      <c r="WWZ37" s="704"/>
      <c r="WXA37" s="704"/>
      <c r="WXB37" s="704"/>
      <c r="WXC37" s="704"/>
      <c r="WXD37" s="704"/>
      <c r="WXE37" s="704"/>
      <c r="WXF37" s="704"/>
      <c r="WXG37" s="704"/>
      <c r="WXH37" s="704"/>
      <c r="WXI37" s="704"/>
      <c r="WXJ37" s="704"/>
      <c r="WXK37" s="704"/>
      <c r="WXL37" s="704"/>
      <c r="WXM37" s="704"/>
      <c r="WXN37" s="704"/>
      <c r="WXO37" s="704"/>
      <c r="WXP37" s="704"/>
      <c r="WXQ37" s="704"/>
      <c r="WXR37" s="704"/>
      <c r="WXS37" s="704"/>
      <c r="WXT37" s="704"/>
      <c r="WXU37" s="704"/>
      <c r="WXV37" s="704"/>
      <c r="WXW37" s="704"/>
      <c r="WXX37" s="704"/>
      <c r="WXY37" s="704"/>
      <c r="WXZ37" s="704"/>
      <c r="WYA37" s="704"/>
      <c r="WYB37" s="704"/>
      <c r="WYC37" s="704"/>
      <c r="WYD37" s="704"/>
      <c r="WYE37" s="704"/>
      <c r="WYF37" s="704"/>
      <c r="WYG37" s="704"/>
      <c r="WYH37" s="704"/>
      <c r="WYI37" s="704"/>
      <c r="WYJ37" s="704"/>
      <c r="WYK37" s="704"/>
      <c r="WYL37" s="704"/>
      <c r="WYM37" s="704"/>
      <c r="WYN37" s="704"/>
      <c r="WYO37" s="704"/>
      <c r="WYP37" s="704"/>
      <c r="WYQ37" s="704"/>
      <c r="WYR37" s="704"/>
      <c r="WYS37" s="704"/>
      <c r="WYT37" s="704"/>
      <c r="WYU37" s="704"/>
      <c r="WYV37" s="704"/>
      <c r="WYW37" s="704"/>
      <c r="WYX37" s="704"/>
      <c r="WYY37" s="704"/>
      <c r="WYZ37" s="704"/>
      <c r="WZA37" s="704"/>
      <c r="WZB37" s="704"/>
      <c r="WZC37" s="704"/>
      <c r="WZD37" s="704"/>
      <c r="WZE37" s="704"/>
      <c r="WZF37" s="704"/>
      <c r="WZG37" s="704"/>
      <c r="WZH37" s="704"/>
      <c r="WZI37" s="704"/>
      <c r="WZJ37" s="704"/>
      <c r="WZK37" s="704"/>
      <c r="WZL37" s="704"/>
      <c r="WZM37" s="704"/>
      <c r="WZN37" s="704"/>
      <c r="WZO37" s="704"/>
      <c r="WZP37" s="704"/>
      <c r="WZQ37" s="704"/>
      <c r="WZR37" s="704"/>
      <c r="WZS37" s="704"/>
      <c r="WZT37" s="704"/>
      <c r="WZU37" s="704"/>
      <c r="WZV37" s="704"/>
      <c r="WZW37" s="704"/>
      <c r="WZX37" s="704"/>
      <c r="WZY37" s="704"/>
      <c r="WZZ37" s="704"/>
      <c r="XAA37" s="704"/>
      <c r="XAB37" s="704"/>
      <c r="XAC37" s="704"/>
      <c r="XAD37" s="704"/>
      <c r="XAE37" s="704"/>
      <c r="XAF37" s="704"/>
      <c r="XAG37" s="704"/>
      <c r="XAH37" s="704"/>
      <c r="XAI37" s="704"/>
      <c r="XAJ37" s="704"/>
      <c r="XAK37" s="704"/>
      <c r="XAL37" s="704"/>
      <c r="XAM37" s="704"/>
      <c r="XAN37" s="704"/>
      <c r="XAO37" s="704"/>
      <c r="XAP37" s="704"/>
      <c r="XAQ37" s="704"/>
      <c r="XAR37" s="704"/>
      <c r="XAS37" s="704"/>
      <c r="XAT37" s="704"/>
      <c r="XAU37" s="704"/>
      <c r="XAV37" s="704"/>
      <c r="XAW37" s="704"/>
      <c r="XAX37" s="704"/>
      <c r="XAY37" s="704"/>
      <c r="XAZ37" s="704"/>
      <c r="XBA37" s="704"/>
      <c r="XBB37" s="704"/>
      <c r="XBC37" s="704"/>
      <c r="XBD37" s="704"/>
      <c r="XBE37" s="704"/>
      <c r="XBF37" s="704"/>
      <c r="XBG37" s="704"/>
      <c r="XBH37" s="704"/>
      <c r="XBI37" s="704"/>
      <c r="XBJ37" s="704"/>
      <c r="XBK37" s="704"/>
      <c r="XBL37" s="704"/>
      <c r="XBM37" s="704"/>
      <c r="XBN37" s="704"/>
      <c r="XBO37" s="704"/>
      <c r="XBP37" s="704"/>
      <c r="XBQ37" s="704"/>
      <c r="XBR37" s="704"/>
      <c r="XBS37" s="704"/>
      <c r="XBT37" s="704"/>
      <c r="XBU37" s="704"/>
      <c r="XBV37" s="704"/>
      <c r="XBW37" s="704"/>
      <c r="XBX37" s="704"/>
      <c r="XBY37" s="704"/>
      <c r="XBZ37" s="704"/>
      <c r="XCA37" s="704"/>
      <c r="XCB37" s="704"/>
      <c r="XCC37" s="704"/>
      <c r="XCD37" s="704"/>
      <c r="XCE37" s="704"/>
      <c r="XCF37" s="704"/>
      <c r="XCG37" s="704"/>
      <c r="XCH37" s="704"/>
      <c r="XCI37" s="704"/>
      <c r="XCJ37" s="704"/>
      <c r="XCK37" s="704"/>
      <c r="XCL37" s="704"/>
      <c r="XCM37" s="704"/>
      <c r="XCN37" s="704"/>
      <c r="XCO37" s="704"/>
      <c r="XCP37" s="704"/>
      <c r="XCQ37" s="704"/>
      <c r="XCR37" s="704"/>
      <c r="XCS37" s="704"/>
      <c r="XCT37" s="704"/>
      <c r="XCU37" s="704"/>
      <c r="XCV37" s="704"/>
      <c r="XCW37" s="704"/>
      <c r="XCX37" s="704"/>
      <c r="XCY37" s="704"/>
      <c r="XCZ37" s="704"/>
      <c r="XDA37" s="704"/>
      <c r="XDB37" s="704"/>
      <c r="XDC37" s="704"/>
      <c r="XDD37" s="704"/>
      <c r="XDE37" s="704"/>
      <c r="XDF37" s="704"/>
      <c r="XDG37" s="704"/>
      <c r="XDH37" s="704"/>
      <c r="XDI37" s="704"/>
      <c r="XDJ37" s="704"/>
      <c r="XDK37" s="704"/>
      <c r="XDL37" s="704"/>
      <c r="XDM37" s="704"/>
      <c r="XDN37" s="704"/>
      <c r="XDO37" s="704"/>
      <c r="XDP37" s="704"/>
      <c r="XDQ37" s="704"/>
      <c r="XDR37" s="704"/>
      <c r="XDS37" s="704"/>
      <c r="XDT37" s="704"/>
      <c r="XDU37" s="704"/>
      <c r="XDV37" s="704"/>
      <c r="XDW37" s="704"/>
      <c r="XDX37" s="704"/>
      <c r="XDY37" s="704"/>
      <c r="XDZ37" s="704"/>
      <c r="XEA37" s="704"/>
      <c r="XEB37" s="704"/>
      <c r="XEC37" s="704"/>
      <c r="XED37" s="704"/>
      <c r="XEE37" s="704"/>
      <c r="XEF37" s="704"/>
      <c r="XEG37" s="704"/>
      <c r="XEH37" s="704"/>
      <c r="XEI37" s="704"/>
      <c r="XEJ37" s="704"/>
      <c r="XEK37" s="704"/>
      <c r="XEL37" s="704"/>
      <c r="XEM37" s="704"/>
      <c r="XEN37" s="704"/>
      <c r="XEO37" s="704"/>
      <c r="XEP37" s="704"/>
      <c r="XEQ37" s="704"/>
      <c r="XER37" s="704"/>
      <c r="XES37" s="704"/>
      <c r="XET37" s="704"/>
      <c r="XEU37" s="704"/>
      <c r="XEV37" s="704"/>
      <c r="XEW37" s="704"/>
      <c r="XEX37" s="704"/>
      <c r="XEY37" s="704"/>
      <c r="XEZ37" s="704"/>
      <c r="XFA37" s="704"/>
    </row>
    <row r="38" spans="1:16381" ht="68.25" customHeight="1">
      <c r="A38" s="144" t="s">
        <v>77</v>
      </c>
      <c r="B38" s="151" t="s">
        <v>78</v>
      </c>
      <c r="C38" s="145"/>
      <c r="D38" s="145"/>
      <c r="E38" s="145"/>
      <c r="F38" s="145"/>
      <c r="G38" s="145"/>
      <c r="H38" s="145"/>
      <c r="I38" s="145"/>
      <c r="J38" s="145"/>
      <c r="K38" s="145"/>
      <c r="L38" s="145"/>
      <c r="M38" s="145"/>
      <c r="N38" s="145"/>
      <c r="O38" s="144"/>
      <c r="P38" s="144"/>
      <c r="Q38" s="144"/>
      <c r="R38" s="144"/>
      <c r="S38" s="704"/>
      <c r="T38" s="704"/>
      <c r="U38" s="704"/>
      <c r="V38" s="704"/>
      <c r="W38" s="704"/>
      <c r="X38" s="704"/>
      <c r="Y38" s="704"/>
      <c r="Z38" s="704"/>
      <c r="AA38" s="704"/>
      <c r="AB38" s="704"/>
      <c r="AC38" s="704"/>
      <c r="AD38" s="704"/>
      <c r="AE38" s="704"/>
      <c r="AF38" s="704"/>
      <c r="AG38" s="704"/>
      <c r="AH38" s="10"/>
      <c r="AI38" s="41"/>
      <c r="AJ38" s="10"/>
      <c r="AK38" s="124"/>
      <c r="AL38" s="20"/>
      <c r="AM38" s="260"/>
      <c r="AN38" s="260"/>
      <c r="AO38" s="260"/>
      <c r="AP38" s="260"/>
      <c r="AQ38" s="260"/>
      <c r="AR38" s="260"/>
      <c r="AS38" s="260"/>
      <c r="AT38" s="260"/>
      <c r="AU38" s="260"/>
      <c r="AV38" s="260"/>
      <c r="AW38" s="260"/>
      <c r="AX38" s="704"/>
      <c r="AY38" s="704"/>
      <c r="AZ38" s="704"/>
      <c r="BA38" s="704"/>
      <c r="BB38" s="704"/>
      <c r="BC38" s="704"/>
      <c r="BD38" s="704"/>
      <c r="BE38" s="704"/>
      <c r="BF38" s="704"/>
      <c r="BG38" s="704"/>
      <c r="BH38" s="704"/>
      <c r="BI38" s="704"/>
      <c r="BJ38" s="704"/>
      <c r="BK38" s="704"/>
      <c r="BL38" s="704"/>
      <c r="BM38" s="704"/>
      <c r="BN38" s="704"/>
      <c r="BO38" s="704"/>
      <c r="BP38" s="704"/>
      <c r="BQ38" s="704"/>
      <c r="BR38" s="704"/>
      <c r="BS38" s="704"/>
      <c r="BT38" s="704"/>
      <c r="BU38" s="704"/>
      <c r="BV38" s="704"/>
      <c r="BW38" s="704"/>
      <c r="BX38" s="704"/>
      <c r="BY38" s="704"/>
      <c r="BZ38" s="704"/>
      <c r="CA38" s="704"/>
      <c r="CB38" s="704"/>
      <c r="CC38" s="704"/>
      <c r="CD38" s="704"/>
      <c r="CE38" s="704"/>
      <c r="CF38" s="704"/>
      <c r="CG38" s="704"/>
      <c r="CH38" s="704"/>
      <c r="CI38" s="704"/>
      <c r="CJ38" s="704"/>
      <c r="CK38" s="704"/>
      <c r="CL38" s="704"/>
      <c r="CM38" s="704"/>
      <c r="CN38" s="704"/>
      <c r="CO38" s="704"/>
      <c r="CP38" s="704"/>
      <c r="CQ38" s="704"/>
      <c r="CR38" s="704"/>
      <c r="CS38" s="704"/>
      <c r="CT38" s="704"/>
      <c r="CU38" s="704"/>
      <c r="CV38" s="704"/>
      <c r="CW38" s="704"/>
      <c r="CX38" s="704"/>
      <c r="CY38" s="704"/>
      <c r="CZ38" s="704"/>
      <c r="DA38" s="704"/>
      <c r="DB38" s="704"/>
      <c r="DC38" s="704"/>
      <c r="DD38" s="704"/>
      <c r="DE38" s="704"/>
      <c r="DF38" s="704"/>
      <c r="DG38" s="704"/>
      <c r="DH38" s="704"/>
      <c r="DI38" s="704"/>
      <c r="DJ38" s="704"/>
      <c r="DK38" s="704"/>
      <c r="DL38" s="704"/>
      <c r="DM38" s="704"/>
      <c r="DN38" s="704"/>
      <c r="DO38" s="704"/>
      <c r="DP38" s="704"/>
      <c r="DQ38" s="704"/>
      <c r="DR38" s="704"/>
      <c r="DS38" s="704"/>
      <c r="DT38" s="704"/>
      <c r="DU38" s="704"/>
      <c r="DV38" s="704"/>
      <c r="DW38" s="704"/>
      <c r="DX38" s="704"/>
      <c r="DY38" s="704"/>
      <c r="DZ38" s="704"/>
      <c r="EA38" s="704"/>
      <c r="EB38" s="704"/>
      <c r="EC38" s="704"/>
      <c r="ED38" s="704"/>
      <c r="EE38" s="704"/>
      <c r="EF38" s="704"/>
      <c r="EG38" s="704"/>
      <c r="EH38" s="704"/>
      <c r="EI38" s="704"/>
      <c r="EJ38" s="704"/>
      <c r="EK38" s="704"/>
      <c r="EL38" s="704"/>
      <c r="EM38" s="704"/>
      <c r="EN38" s="704"/>
      <c r="EO38" s="704"/>
      <c r="EP38" s="704"/>
      <c r="EQ38" s="704"/>
      <c r="ER38" s="704"/>
      <c r="ES38" s="704"/>
      <c r="ET38" s="704"/>
      <c r="EU38" s="704"/>
      <c r="EV38" s="704"/>
      <c r="EW38" s="704"/>
      <c r="EX38" s="704"/>
      <c r="EY38" s="704"/>
      <c r="EZ38" s="704"/>
      <c r="FA38" s="704"/>
      <c r="FB38" s="704"/>
      <c r="FC38" s="704"/>
      <c r="FD38" s="704"/>
      <c r="FE38" s="704"/>
      <c r="FF38" s="704"/>
      <c r="FG38" s="704"/>
      <c r="FH38" s="704"/>
      <c r="FI38" s="704"/>
      <c r="FJ38" s="704"/>
      <c r="FK38" s="704"/>
      <c r="FL38" s="704"/>
      <c r="FM38" s="704"/>
      <c r="FN38" s="704"/>
      <c r="FO38" s="704"/>
      <c r="FP38" s="704"/>
      <c r="FQ38" s="704"/>
      <c r="FR38" s="704"/>
      <c r="FS38" s="704"/>
      <c r="FT38" s="704"/>
      <c r="FU38" s="704"/>
      <c r="FV38" s="704"/>
      <c r="FW38" s="704"/>
      <c r="FX38" s="704"/>
      <c r="FY38" s="704"/>
      <c r="FZ38" s="704"/>
      <c r="GA38" s="704"/>
      <c r="GB38" s="704"/>
      <c r="GC38" s="704"/>
      <c r="GD38" s="704"/>
      <c r="GE38" s="704"/>
      <c r="GF38" s="704"/>
      <c r="GG38" s="704"/>
      <c r="GH38" s="704"/>
      <c r="GI38" s="704"/>
      <c r="GJ38" s="704"/>
      <c r="GK38" s="704"/>
      <c r="GL38" s="704"/>
      <c r="GM38" s="704"/>
      <c r="GN38" s="704"/>
      <c r="GO38" s="704"/>
      <c r="GP38" s="704"/>
      <c r="GQ38" s="704"/>
      <c r="GR38" s="704"/>
      <c r="GS38" s="704"/>
      <c r="GT38" s="704"/>
      <c r="GU38" s="704"/>
      <c r="GV38" s="704"/>
      <c r="GW38" s="704"/>
      <c r="GX38" s="704"/>
      <c r="GY38" s="704"/>
      <c r="GZ38" s="704"/>
      <c r="HA38" s="704"/>
      <c r="HB38" s="704"/>
      <c r="HC38" s="704"/>
      <c r="HD38" s="704"/>
      <c r="HE38" s="704"/>
      <c r="HF38" s="704"/>
      <c r="HG38" s="704"/>
      <c r="HH38" s="704"/>
      <c r="HI38" s="704"/>
      <c r="HJ38" s="704"/>
      <c r="HK38" s="704"/>
      <c r="HL38" s="704"/>
      <c r="HM38" s="704"/>
      <c r="HN38" s="704"/>
      <c r="HO38" s="704"/>
      <c r="HP38" s="704"/>
      <c r="HQ38" s="704"/>
      <c r="HR38" s="704"/>
      <c r="HS38" s="704"/>
      <c r="HT38" s="704"/>
      <c r="HU38" s="704"/>
      <c r="HV38" s="704"/>
      <c r="HW38" s="704"/>
      <c r="HX38" s="704"/>
      <c r="HY38" s="704"/>
      <c r="HZ38" s="704"/>
      <c r="IA38" s="704"/>
      <c r="IB38" s="704"/>
      <c r="IC38" s="704"/>
      <c r="ID38" s="704"/>
      <c r="IE38" s="704"/>
      <c r="IF38" s="704"/>
      <c r="IG38" s="704"/>
      <c r="IH38" s="704"/>
      <c r="II38" s="704"/>
      <c r="IJ38" s="704"/>
      <c r="IK38" s="704"/>
      <c r="IL38" s="704"/>
      <c r="IM38" s="704"/>
      <c r="IN38" s="704"/>
      <c r="IO38" s="704"/>
      <c r="IP38" s="704"/>
      <c r="IQ38" s="704"/>
      <c r="IR38" s="704"/>
      <c r="IS38" s="704"/>
      <c r="IT38" s="704"/>
      <c r="IU38" s="704"/>
      <c r="IV38" s="704"/>
      <c r="IW38" s="704"/>
      <c r="IX38" s="704"/>
      <c r="IY38" s="704"/>
      <c r="IZ38" s="704"/>
      <c r="JA38" s="704"/>
      <c r="JB38" s="704"/>
      <c r="JC38" s="704"/>
      <c r="JD38" s="704"/>
      <c r="JE38" s="704"/>
      <c r="JF38" s="704"/>
      <c r="JG38" s="704"/>
      <c r="JH38" s="704"/>
      <c r="JI38" s="704"/>
      <c r="JJ38" s="704"/>
      <c r="JK38" s="704"/>
      <c r="JL38" s="704"/>
      <c r="JM38" s="704"/>
      <c r="JN38" s="704"/>
      <c r="JO38" s="704"/>
      <c r="JP38" s="704"/>
      <c r="JQ38" s="704"/>
      <c r="JR38" s="704"/>
      <c r="JS38" s="704"/>
      <c r="JT38" s="704"/>
      <c r="JU38" s="704"/>
      <c r="JV38" s="704"/>
      <c r="JW38" s="704"/>
      <c r="JX38" s="704"/>
      <c r="JY38" s="704"/>
      <c r="JZ38" s="704"/>
      <c r="KA38" s="704"/>
      <c r="KB38" s="704"/>
      <c r="KC38" s="704"/>
      <c r="KD38" s="704"/>
      <c r="KE38" s="704"/>
      <c r="KF38" s="704"/>
      <c r="KG38" s="704"/>
      <c r="KH38" s="704"/>
      <c r="KI38" s="704"/>
      <c r="KJ38" s="704"/>
      <c r="KK38" s="704"/>
      <c r="KL38" s="704"/>
      <c r="KM38" s="704"/>
      <c r="KN38" s="704"/>
      <c r="KO38" s="704"/>
      <c r="KP38" s="704"/>
      <c r="KQ38" s="704"/>
      <c r="KR38" s="704"/>
      <c r="KS38" s="704"/>
      <c r="KT38" s="704"/>
      <c r="KU38" s="704"/>
      <c r="KV38" s="704"/>
      <c r="KW38" s="704"/>
      <c r="KX38" s="704"/>
      <c r="KY38" s="704"/>
      <c r="KZ38" s="704"/>
      <c r="LA38" s="704"/>
      <c r="LB38" s="704"/>
      <c r="LC38" s="704"/>
      <c r="LD38" s="704"/>
      <c r="LE38" s="704"/>
      <c r="LF38" s="704"/>
      <c r="LG38" s="704"/>
      <c r="LH38" s="704"/>
      <c r="LI38" s="704"/>
      <c r="LJ38" s="704"/>
      <c r="LK38" s="704"/>
      <c r="LL38" s="704"/>
      <c r="LM38" s="704"/>
      <c r="LN38" s="704"/>
      <c r="LO38" s="704"/>
      <c r="LP38" s="704"/>
      <c r="LQ38" s="704"/>
      <c r="LR38" s="704"/>
      <c r="LS38" s="704"/>
      <c r="LT38" s="704"/>
      <c r="LU38" s="704"/>
      <c r="LV38" s="704"/>
      <c r="LW38" s="704"/>
      <c r="LX38" s="704"/>
      <c r="LY38" s="704"/>
      <c r="LZ38" s="704"/>
      <c r="MA38" s="704"/>
      <c r="MB38" s="704"/>
      <c r="MC38" s="704"/>
      <c r="MD38" s="704"/>
      <c r="ME38" s="704"/>
      <c r="MF38" s="704"/>
      <c r="MG38" s="704"/>
      <c r="MH38" s="704"/>
      <c r="MI38" s="704"/>
      <c r="MJ38" s="704"/>
      <c r="MK38" s="704"/>
      <c r="ML38" s="704"/>
      <c r="MM38" s="704"/>
      <c r="MN38" s="704"/>
      <c r="MO38" s="704"/>
      <c r="MP38" s="704"/>
      <c r="MQ38" s="704"/>
      <c r="MR38" s="704"/>
      <c r="MS38" s="704"/>
      <c r="MT38" s="704"/>
      <c r="MU38" s="704"/>
      <c r="MV38" s="704"/>
      <c r="MW38" s="704"/>
      <c r="MX38" s="704"/>
      <c r="MY38" s="704"/>
      <c r="MZ38" s="704"/>
      <c r="NA38" s="704"/>
      <c r="NB38" s="704"/>
      <c r="NC38" s="704"/>
      <c r="ND38" s="704"/>
      <c r="NE38" s="704"/>
      <c r="NF38" s="704"/>
      <c r="NG38" s="704"/>
      <c r="NH38" s="704"/>
      <c r="NI38" s="704"/>
      <c r="NJ38" s="704"/>
      <c r="NK38" s="704"/>
      <c r="NL38" s="704"/>
      <c r="NM38" s="704"/>
      <c r="NN38" s="704"/>
      <c r="NO38" s="704"/>
      <c r="NP38" s="704"/>
      <c r="NQ38" s="704"/>
      <c r="NR38" s="704"/>
      <c r="NS38" s="704"/>
      <c r="NT38" s="704"/>
      <c r="NU38" s="704"/>
      <c r="NV38" s="704"/>
      <c r="NW38" s="704"/>
      <c r="NX38" s="704"/>
      <c r="NY38" s="704"/>
      <c r="NZ38" s="704"/>
      <c r="OA38" s="704"/>
      <c r="OB38" s="704"/>
      <c r="OC38" s="704"/>
      <c r="OD38" s="704"/>
      <c r="OE38" s="704"/>
      <c r="OF38" s="704"/>
      <c r="OG38" s="704"/>
      <c r="OH38" s="704"/>
      <c r="OI38" s="704"/>
      <c r="OJ38" s="704"/>
      <c r="OK38" s="704"/>
      <c r="OL38" s="704"/>
      <c r="OM38" s="704"/>
      <c r="ON38" s="704"/>
      <c r="OO38" s="704"/>
      <c r="OP38" s="704"/>
      <c r="OQ38" s="704"/>
      <c r="OR38" s="704"/>
      <c r="OS38" s="704"/>
      <c r="OT38" s="704"/>
      <c r="OU38" s="704"/>
      <c r="OV38" s="704"/>
      <c r="OW38" s="704"/>
      <c r="OX38" s="704"/>
      <c r="OY38" s="704"/>
      <c r="OZ38" s="704"/>
      <c r="PA38" s="704"/>
      <c r="PB38" s="704"/>
      <c r="PC38" s="704"/>
      <c r="PD38" s="704"/>
      <c r="PE38" s="704"/>
      <c r="PF38" s="704"/>
      <c r="PG38" s="704"/>
      <c r="PH38" s="704"/>
      <c r="PI38" s="704"/>
      <c r="PJ38" s="704"/>
      <c r="PK38" s="704"/>
      <c r="PL38" s="704"/>
      <c r="PM38" s="704"/>
      <c r="PN38" s="704"/>
      <c r="PO38" s="704"/>
      <c r="PP38" s="704"/>
      <c r="PQ38" s="704"/>
      <c r="PR38" s="704"/>
      <c r="PS38" s="704"/>
      <c r="PT38" s="704"/>
      <c r="PU38" s="704"/>
      <c r="PV38" s="704"/>
      <c r="PW38" s="704"/>
      <c r="PX38" s="704"/>
      <c r="PY38" s="704"/>
      <c r="PZ38" s="704"/>
      <c r="QA38" s="704"/>
      <c r="QB38" s="704"/>
      <c r="QC38" s="704"/>
      <c r="QD38" s="704"/>
      <c r="QE38" s="704"/>
      <c r="QF38" s="704"/>
      <c r="QG38" s="704"/>
      <c r="QH38" s="704"/>
      <c r="QI38" s="704"/>
      <c r="QJ38" s="704"/>
      <c r="QK38" s="704"/>
      <c r="QL38" s="704"/>
      <c r="QM38" s="704"/>
      <c r="QN38" s="704"/>
      <c r="QO38" s="704"/>
      <c r="QP38" s="704"/>
      <c r="QQ38" s="704"/>
      <c r="QR38" s="704"/>
      <c r="QS38" s="704"/>
      <c r="QT38" s="704"/>
      <c r="QU38" s="704"/>
      <c r="QV38" s="704"/>
      <c r="QW38" s="704"/>
      <c r="QX38" s="704"/>
      <c r="QY38" s="704"/>
      <c r="QZ38" s="704"/>
      <c r="RA38" s="704"/>
      <c r="RB38" s="704"/>
      <c r="RC38" s="704"/>
      <c r="RD38" s="704"/>
      <c r="RE38" s="704"/>
      <c r="RF38" s="704"/>
      <c r="RG38" s="704"/>
      <c r="RH38" s="704"/>
      <c r="RI38" s="704"/>
      <c r="RJ38" s="704"/>
      <c r="RK38" s="704"/>
      <c r="RL38" s="704"/>
      <c r="RM38" s="704"/>
      <c r="RN38" s="704"/>
      <c r="RO38" s="704"/>
      <c r="RP38" s="704"/>
      <c r="RQ38" s="704"/>
      <c r="RR38" s="704"/>
      <c r="RS38" s="704"/>
      <c r="RT38" s="704"/>
      <c r="RU38" s="704"/>
      <c r="RV38" s="704"/>
      <c r="RW38" s="704"/>
      <c r="RX38" s="704"/>
      <c r="RY38" s="704"/>
      <c r="RZ38" s="704"/>
      <c r="SA38" s="704"/>
      <c r="SB38" s="704"/>
      <c r="SC38" s="704"/>
      <c r="SD38" s="704"/>
      <c r="SE38" s="704"/>
      <c r="SF38" s="704"/>
      <c r="SG38" s="704"/>
      <c r="SH38" s="704"/>
      <c r="SI38" s="704"/>
      <c r="SJ38" s="704"/>
      <c r="SK38" s="704"/>
      <c r="SL38" s="704"/>
      <c r="SM38" s="704"/>
      <c r="SN38" s="704"/>
      <c r="SO38" s="704"/>
      <c r="SP38" s="704"/>
      <c r="SQ38" s="704"/>
      <c r="SR38" s="704"/>
      <c r="SS38" s="704"/>
      <c r="ST38" s="704"/>
      <c r="SU38" s="704"/>
      <c r="SV38" s="704"/>
      <c r="SW38" s="704"/>
      <c r="SX38" s="704"/>
      <c r="SY38" s="704"/>
      <c r="SZ38" s="704"/>
      <c r="TA38" s="704"/>
      <c r="TB38" s="704"/>
      <c r="TC38" s="704"/>
      <c r="TD38" s="704"/>
      <c r="TE38" s="704"/>
      <c r="TF38" s="704"/>
      <c r="TG38" s="704"/>
      <c r="TH38" s="704"/>
      <c r="TI38" s="704"/>
      <c r="TJ38" s="704"/>
      <c r="TK38" s="704"/>
      <c r="TL38" s="704"/>
      <c r="TM38" s="704"/>
      <c r="TN38" s="704"/>
      <c r="TO38" s="704"/>
      <c r="TP38" s="704"/>
      <c r="TQ38" s="704"/>
      <c r="TR38" s="704"/>
      <c r="TS38" s="704"/>
      <c r="TT38" s="704"/>
      <c r="TU38" s="704"/>
      <c r="TV38" s="704"/>
      <c r="TW38" s="704"/>
      <c r="TX38" s="704"/>
      <c r="TY38" s="704"/>
      <c r="TZ38" s="704"/>
      <c r="UA38" s="704"/>
      <c r="UB38" s="704"/>
      <c r="UC38" s="704"/>
      <c r="UD38" s="704"/>
      <c r="UE38" s="704"/>
      <c r="UF38" s="704"/>
      <c r="UG38" s="704"/>
      <c r="UH38" s="704"/>
      <c r="UI38" s="704"/>
      <c r="UJ38" s="704"/>
      <c r="UK38" s="704"/>
      <c r="UL38" s="704"/>
      <c r="UM38" s="704"/>
      <c r="UN38" s="704"/>
      <c r="UO38" s="704"/>
      <c r="UP38" s="704"/>
      <c r="UQ38" s="704"/>
      <c r="UR38" s="704"/>
      <c r="US38" s="704"/>
      <c r="UT38" s="704"/>
      <c r="UU38" s="704"/>
      <c r="UV38" s="704"/>
      <c r="UW38" s="704"/>
      <c r="UX38" s="704"/>
      <c r="UY38" s="704"/>
      <c r="UZ38" s="704"/>
      <c r="VA38" s="704"/>
      <c r="VB38" s="704"/>
      <c r="VC38" s="704"/>
      <c r="VD38" s="704"/>
      <c r="VE38" s="704"/>
      <c r="VF38" s="704"/>
      <c r="VG38" s="704"/>
      <c r="VH38" s="704"/>
      <c r="VI38" s="704"/>
      <c r="VJ38" s="704"/>
      <c r="VK38" s="704"/>
      <c r="VL38" s="704"/>
      <c r="VM38" s="704"/>
      <c r="VN38" s="704"/>
      <c r="VO38" s="704"/>
      <c r="VP38" s="704"/>
      <c r="VQ38" s="704"/>
      <c r="VR38" s="704"/>
      <c r="VS38" s="704"/>
      <c r="VT38" s="704"/>
      <c r="VU38" s="704"/>
      <c r="VV38" s="704"/>
      <c r="VW38" s="704"/>
      <c r="VX38" s="704"/>
      <c r="VY38" s="704"/>
      <c r="VZ38" s="704"/>
      <c r="WA38" s="704"/>
      <c r="WB38" s="704"/>
      <c r="WC38" s="704"/>
      <c r="WD38" s="704"/>
      <c r="WE38" s="704"/>
      <c r="WF38" s="704"/>
      <c r="WG38" s="704"/>
      <c r="WH38" s="704"/>
      <c r="WI38" s="704"/>
      <c r="WJ38" s="704"/>
      <c r="WK38" s="704"/>
      <c r="WL38" s="704"/>
      <c r="WM38" s="704"/>
      <c r="WN38" s="704"/>
      <c r="WO38" s="704"/>
      <c r="WP38" s="704"/>
      <c r="WQ38" s="704"/>
      <c r="WR38" s="704"/>
      <c r="WS38" s="704"/>
      <c r="WT38" s="704"/>
      <c r="WU38" s="704"/>
      <c r="WV38" s="704"/>
      <c r="WW38" s="704"/>
      <c r="WX38" s="704"/>
      <c r="WY38" s="704"/>
      <c r="WZ38" s="704"/>
      <c r="XA38" s="704"/>
      <c r="XB38" s="704"/>
      <c r="XC38" s="704"/>
      <c r="XD38" s="704"/>
      <c r="XE38" s="704"/>
      <c r="XF38" s="704"/>
      <c r="XG38" s="704"/>
      <c r="XH38" s="704"/>
      <c r="XI38" s="704"/>
      <c r="XJ38" s="704"/>
      <c r="XK38" s="704"/>
      <c r="XL38" s="704"/>
      <c r="XM38" s="704"/>
      <c r="XN38" s="704"/>
      <c r="XO38" s="704"/>
      <c r="XP38" s="704"/>
      <c r="XQ38" s="704"/>
      <c r="XR38" s="704"/>
      <c r="XS38" s="704"/>
      <c r="XT38" s="704"/>
      <c r="XU38" s="704"/>
      <c r="XV38" s="704"/>
      <c r="XW38" s="704"/>
      <c r="XX38" s="704"/>
      <c r="XY38" s="704"/>
      <c r="XZ38" s="704"/>
      <c r="YA38" s="704"/>
      <c r="YB38" s="704"/>
      <c r="YC38" s="704"/>
      <c r="YD38" s="704"/>
      <c r="YE38" s="704"/>
      <c r="YF38" s="704"/>
      <c r="YG38" s="704"/>
      <c r="YH38" s="704"/>
      <c r="YI38" s="704"/>
      <c r="YJ38" s="704"/>
      <c r="YK38" s="704"/>
      <c r="YL38" s="704"/>
      <c r="YM38" s="704"/>
      <c r="YN38" s="704"/>
      <c r="YO38" s="704"/>
      <c r="YP38" s="704"/>
      <c r="YQ38" s="704"/>
      <c r="YR38" s="704"/>
      <c r="YS38" s="704"/>
      <c r="YT38" s="704"/>
      <c r="YU38" s="704"/>
      <c r="YV38" s="704"/>
      <c r="YW38" s="704"/>
      <c r="YX38" s="704"/>
      <c r="YY38" s="704"/>
      <c r="YZ38" s="704"/>
      <c r="ZA38" s="704"/>
      <c r="ZB38" s="704"/>
      <c r="ZC38" s="704"/>
      <c r="ZD38" s="704"/>
      <c r="ZE38" s="704"/>
      <c r="ZF38" s="704"/>
      <c r="ZG38" s="704"/>
      <c r="ZH38" s="704"/>
      <c r="ZI38" s="704"/>
      <c r="ZJ38" s="704"/>
      <c r="ZK38" s="704"/>
      <c r="ZL38" s="704"/>
      <c r="ZM38" s="704"/>
      <c r="ZN38" s="704"/>
      <c r="ZO38" s="704"/>
      <c r="ZP38" s="704"/>
      <c r="ZQ38" s="704"/>
      <c r="ZR38" s="704"/>
      <c r="ZS38" s="704"/>
      <c r="ZT38" s="704"/>
      <c r="ZU38" s="704"/>
      <c r="ZV38" s="704"/>
      <c r="ZW38" s="704"/>
      <c r="ZX38" s="704"/>
      <c r="ZY38" s="704"/>
      <c r="ZZ38" s="704"/>
      <c r="AAA38" s="704"/>
      <c r="AAB38" s="704"/>
      <c r="AAC38" s="704"/>
      <c r="AAD38" s="704"/>
      <c r="AAE38" s="704"/>
      <c r="AAF38" s="704"/>
      <c r="AAG38" s="704"/>
      <c r="AAH38" s="704"/>
      <c r="AAI38" s="704"/>
      <c r="AAJ38" s="704"/>
      <c r="AAK38" s="704"/>
      <c r="AAL38" s="704"/>
      <c r="AAM38" s="704"/>
      <c r="AAN38" s="704"/>
      <c r="AAO38" s="704"/>
      <c r="AAP38" s="704"/>
      <c r="AAQ38" s="704"/>
      <c r="AAR38" s="704"/>
      <c r="AAS38" s="704"/>
      <c r="AAT38" s="704"/>
      <c r="AAU38" s="704"/>
      <c r="AAV38" s="704"/>
      <c r="AAW38" s="704"/>
      <c r="AAX38" s="704"/>
      <c r="AAY38" s="704"/>
      <c r="AAZ38" s="704"/>
      <c r="ABA38" s="704"/>
      <c r="ABB38" s="704"/>
      <c r="ABC38" s="704"/>
      <c r="ABD38" s="704"/>
      <c r="ABE38" s="704"/>
      <c r="ABF38" s="704"/>
      <c r="ABG38" s="704"/>
      <c r="ABH38" s="704"/>
      <c r="ABI38" s="704"/>
      <c r="ABJ38" s="704"/>
      <c r="ABK38" s="704"/>
      <c r="ABL38" s="704"/>
      <c r="ABM38" s="704"/>
      <c r="ABN38" s="704"/>
      <c r="ABO38" s="704"/>
      <c r="ABP38" s="704"/>
      <c r="ABQ38" s="704"/>
      <c r="ABR38" s="704"/>
      <c r="ABS38" s="704"/>
      <c r="ABT38" s="704"/>
      <c r="ABU38" s="704"/>
      <c r="ABV38" s="704"/>
      <c r="ABW38" s="704"/>
      <c r="ABX38" s="704"/>
      <c r="ABY38" s="704"/>
      <c r="ABZ38" s="704"/>
      <c r="ACA38" s="704"/>
      <c r="ACB38" s="704"/>
      <c r="ACC38" s="704"/>
      <c r="ACD38" s="704"/>
      <c r="ACE38" s="704"/>
      <c r="ACF38" s="704"/>
      <c r="ACG38" s="704"/>
      <c r="ACH38" s="704"/>
      <c r="ACI38" s="704"/>
      <c r="ACJ38" s="704"/>
      <c r="ACK38" s="704"/>
      <c r="ACL38" s="704"/>
      <c r="ACM38" s="704"/>
      <c r="ACN38" s="704"/>
      <c r="ACO38" s="704"/>
      <c r="ACP38" s="704"/>
      <c r="ACQ38" s="704"/>
      <c r="ACR38" s="704"/>
      <c r="ACS38" s="704"/>
      <c r="ACT38" s="704"/>
      <c r="ACU38" s="704"/>
      <c r="ACV38" s="704"/>
      <c r="ACW38" s="704"/>
      <c r="ACX38" s="704"/>
      <c r="ACY38" s="704"/>
      <c r="ACZ38" s="704"/>
      <c r="ADA38" s="704"/>
      <c r="ADB38" s="704"/>
      <c r="ADC38" s="704"/>
      <c r="ADD38" s="704"/>
      <c r="ADE38" s="704"/>
      <c r="ADF38" s="704"/>
      <c r="ADG38" s="704"/>
      <c r="ADH38" s="704"/>
      <c r="ADI38" s="704"/>
      <c r="ADJ38" s="704"/>
      <c r="ADK38" s="704"/>
      <c r="ADL38" s="704"/>
      <c r="ADM38" s="704"/>
      <c r="ADN38" s="704"/>
      <c r="ADO38" s="704"/>
      <c r="ADP38" s="704"/>
      <c r="ADQ38" s="704"/>
      <c r="ADR38" s="704"/>
      <c r="ADS38" s="704"/>
      <c r="ADT38" s="704"/>
      <c r="ADU38" s="704"/>
      <c r="ADV38" s="704"/>
      <c r="ADW38" s="704"/>
      <c r="ADX38" s="704"/>
      <c r="ADY38" s="704"/>
      <c r="ADZ38" s="704"/>
      <c r="AEA38" s="704"/>
      <c r="AEB38" s="704"/>
      <c r="AEC38" s="704"/>
      <c r="AED38" s="704"/>
      <c r="AEE38" s="704"/>
      <c r="AEF38" s="704"/>
      <c r="AEG38" s="704"/>
      <c r="AEH38" s="704"/>
      <c r="AEI38" s="704"/>
      <c r="AEJ38" s="704"/>
      <c r="AEK38" s="704"/>
      <c r="AEL38" s="704"/>
      <c r="AEM38" s="704"/>
      <c r="AEN38" s="704"/>
      <c r="AEO38" s="704"/>
      <c r="AEP38" s="704"/>
      <c r="AEQ38" s="704"/>
      <c r="AER38" s="704"/>
      <c r="AES38" s="704"/>
      <c r="AET38" s="704"/>
      <c r="AEU38" s="704"/>
      <c r="AEV38" s="704"/>
      <c r="AEW38" s="704"/>
      <c r="AEX38" s="704"/>
      <c r="AEY38" s="704"/>
      <c r="AEZ38" s="704"/>
      <c r="AFA38" s="704"/>
      <c r="AFB38" s="704"/>
      <c r="AFC38" s="704"/>
      <c r="AFD38" s="704"/>
      <c r="AFE38" s="704"/>
      <c r="AFF38" s="704"/>
      <c r="AFG38" s="704"/>
      <c r="AFH38" s="704"/>
      <c r="AFI38" s="704"/>
      <c r="AFJ38" s="704"/>
      <c r="AFK38" s="704"/>
      <c r="AFL38" s="704"/>
      <c r="AFM38" s="704"/>
      <c r="AFN38" s="704"/>
      <c r="AFO38" s="704"/>
      <c r="AFP38" s="704"/>
      <c r="AFQ38" s="704"/>
      <c r="AFR38" s="704"/>
      <c r="AFS38" s="704"/>
      <c r="AFT38" s="704"/>
      <c r="AFU38" s="704"/>
      <c r="AFV38" s="704"/>
      <c r="AFW38" s="704"/>
      <c r="AFX38" s="704"/>
      <c r="AFY38" s="704"/>
      <c r="AFZ38" s="704"/>
      <c r="AGA38" s="704"/>
      <c r="AGB38" s="704"/>
      <c r="AGC38" s="704"/>
      <c r="AGD38" s="704"/>
      <c r="AGE38" s="704"/>
      <c r="AGF38" s="704"/>
      <c r="AGG38" s="704"/>
      <c r="AGH38" s="704"/>
      <c r="AGI38" s="704"/>
      <c r="AGJ38" s="704"/>
      <c r="AGK38" s="704"/>
      <c r="AGL38" s="704"/>
      <c r="AGM38" s="704"/>
      <c r="AGN38" s="704"/>
      <c r="AGO38" s="704"/>
      <c r="AGP38" s="704"/>
      <c r="AGQ38" s="704"/>
      <c r="AGR38" s="704"/>
      <c r="AGS38" s="704"/>
      <c r="AGT38" s="704"/>
      <c r="AGU38" s="704"/>
      <c r="AGV38" s="704"/>
      <c r="AGW38" s="704"/>
      <c r="AGX38" s="704"/>
      <c r="AGY38" s="704"/>
      <c r="AGZ38" s="704"/>
      <c r="AHA38" s="704"/>
      <c r="AHB38" s="704"/>
      <c r="AHC38" s="704"/>
      <c r="AHD38" s="704"/>
      <c r="AHE38" s="704"/>
      <c r="AHF38" s="704"/>
      <c r="AHG38" s="704"/>
      <c r="AHH38" s="704"/>
      <c r="AHI38" s="704"/>
      <c r="AHJ38" s="704"/>
      <c r="AHK38" s="704"/>
      <c r="AHL38" s="704"/>
      <c r="AHM38" s="704"/>
      <c r="AHN38" s="704"/>
      <c r="AHO38" s="704"/>
      <c r="AHP38" s="704"/>
      <c r="AHQ38" s="704"/>
      <c r="AHR38" s="704"/>
      <c r="AHS38" s="704"/>
      <c r="AHT38" s="704"/>
      <c r="AHU38" s="704"/>
      <c r="AHV38" s="704"/>
      <c r="AHW38" s="704"/>
      <c r="AHX38" s="704"/>
      <c r="AHY38" s="704"/>
      <c r="AHZ38" s="704"/>
      <c r="AIA38" s="704"/>
      <c r="AIB38" s="704"/>
      <c r="AIC38" s="704"/>
      <c r="AID38" s="704"/>
      <c r="AIE38" s="704"/>
      <c r="AIF38" s="704"/>
      <c r="AIG38" s="704"/>
      <c r="AIH38" s="704"/>
      <c r="AII38" s="704"/>
      <c r="AIJ38" s="704"/>
      <c r="AIK38" s="704"/>
      <c r="AIL38" s="704"/>
      <c r="AIM38" s="704"/>
      <c r="AIN38" s="704"/>
      <c r="AIO38" s="704"/>
      <c r="AIP38" s="704"/>
      <c r="AIQ38" s="704"/>
      <c r="AIR38" s="704"/>
      <c r="AIS38" s="704"/>
      <c r="AIT38" s="704"/>
      <c r="AIU38" s="704"/>
      <c r="AIV38" s="704"/>
      <c r="AIW38" s="704"/>
      <c r="AIX38" s="704"/>
      <c r="AIY38" s="704"/>
      <c r="AIZ38" s="704"/>
      <c r="AJA38" s="704"/>
      <c r="AJB38" s="704"/>
      <c r="AJC38" s="704"/>
      <c r="AJD38" s="704"/>
      <c r="AJE38" s="704"/>
      <c r="AJF38" s="704"/>
      <c r="AJG38" s="704"/>
      <c r="AJH38" s="704"/>
      <c r="AJI38" s="704"/>
      <c r="AJJ38" s="704"/>
      <c r="AJK38" s="704"/>
      <c r="AJL38" s="704"/>
      <c r="AJM38" s="704"/>
      <c r="AJN38" s="704"/>
      <c r="AJO38" s="704"/>
      <c r="AJP38" s="704"/>
      <c r="AJQ38" s="704"/>
      <c r="AJR38" s="704"/>
      <c r="AJS38" s="704"/>
      <c r="AJT38" s="704"/>
      <c r="AJU38" s="704"/>
      <c r="AJV38" s="704"/>
      <c r="AJW38" s="704"/>
      <c r="AJX38" s="704"/>
      <c r="AJY38" s="704"/>
      <c r="AJZ38" s="704"/>
      <c r="AKA38" s="704"/>
      <c r="AKB38" s="704"/>
      <c r="AKC38" s="704"/>
      <c r="AKD38" s="704"/>
      <c r="AKE38" s="704"/>
      <c r="AKF38" s="704"/>
      <c r="AKG38" s="704"/>
      <c r="AKH38" s="704"/>
      <c r="AKI38" s="704"/>
      <c r="AKJ38" s="704"/>
      <c r="AKK38" s="704"/>
      <c r="AKL38" s="704"/>
      <c r="AKM38" s="704"/>
      <c r="AKN38" s="704"/>
      <c r="AKO38" s="704"/>
      <c r="AKP38" s="704"/>
      <c r="AKQ38" s="704"/>
      <c r="AKR38" s="704"/>
      <c r="AKS38" s="704"/>
      <c r="AKT38" s="704"/>
      <c r="AKU38" s="704"/>
      <c r="AKV38" s="704"/>
      <c r="AKW38" s="704"/>
      <c r="AKX38" s="704"/>
      <c r="AKY38" s="704"/>
      <c r="AKZ38" s="704"/>
      <c r="ALA38" s="704"/>
      <c r="ALB38" s="704"/>
      <c r="ALC38" s="704"/>
      <c r="ALD38" s="704"/>
      <c r="ALE38" s="704"/>
      <c r="ALF38" s="704"/>
      <c r="ALG38" s="704"/>
      <c r="ALH38" s="704"/>
      <c r="ALI38" s="704"/>
      <c r="ALJ38" s="704"/>
      <c r="ALK38" s="704"/>
      <c r="ALL38" s="704"/>
      <c r="ALM38" s="704"/>
      <c r="ALN38" s="704"/>
      <c r="ALO38" s="704"/>
      <c r="ALP38" s="704"/>
      <c r="ALQ38" s="704"/>
      <c r="ALR38" s="704"/>
      <c r="ALS38" s="704"/>
      <c r="ALT38" s="704"/>
      <c r="ALU38" s="704"/>
      <c r="ALV38" s="704"/>
      <c r="ALW38" s="704"/>
      <c r="ALX38" s="704"/>
      <c r="ALY38" s="704"/>
      <c r="ALZ38" s="704"/>
      <c r="AMA38" s="704"/>
      <c r="AMB38" s="704"/>
      <c r="AMC38" s="704"/>
      <c r="AMD38" s="704"/>
      <c r="AME38" s="704"/>
      <c r="AMF38" s="704"/>
      <c r="AMG38" s="704"/>
      <c r="AMH38" s="704"/>
      <c r="AMI38" s="704"/>
      <c r="AMJ38" s="704"/>
      <c r="AMK38" s="704"/>
      <c r="AML38" s="704"/>
      <c r="AMM38" s="704"/>
      <c r="AMN38" s="704"/>
      <c r="AMO38" s="704"/>
      <c r="AMP38" s="704"/>
      <c r="AMQ38" s="704"/>
      <c r="AMR38" s="704"/>
      <c r="AMS38" s="704"/>
      <c r="AMT38" s="704"/>
      <c r="AMU38" s="704"/>
      <c r="AMV38" s="704"/>
      <c r="AMW38" s="704"/>
      <c r="AMX38" s="704"/>
      <c r="AMY38" s="704"/>
      <c r="AMZ38" s="704"/>
      <c r="ANA38" s="704"/>
      <c r="ANB38" s="704"/>
      <c r="ANC38" s="704"/>
      <c r="AND38" s="704"/>
      <c r="ANE38" s="704"/>
      <c r="ANF38" s="704"/>
      <c r="ANG38" s="704"/>
      <c r="ANH38" s="704"/>
      <c r="ANI38" s="704"/>
      <c r="ANJ38" s="704"/>
      <c r="ANK38" s="704"/>
      <c r="ANL38" s="704"/>
      <c r="ANM38" s="704"/>
      <c r="ANN38" s="704"/>
      <c r="ANO38" s="704"/>
      <c r="ANP38" s="704"/>
      <c r="ANQ38" s="704"/>
      <c r="ANR38" s="704"/>
      <c r="ANS38" s="704"/>
      <c r="ANT38" s="704"/>
      <c r="ANU38" s="704"/>
      <c r="ANV38" s="704"/>
      <c r="ANW38" s="704"/>
      <c r="ANX38" s="704"/>
      <c r="ANY38" s="704"/>
      <c r="ANZ38" s="704"/>
      <c r="AOA38" s="704"/>
      <c r="AOB38" s="704"/>
      <c r="AOC38" s="704"/>
      <c r="AOD38" s="704"/>
      <c r="AOE38" s="704"/>
      <c r="AOF38" s="704"/>
      <c r="AOG38" s="704"/>
      <c r="AOH38" s="704"/>
      <c r="AOI38" s="704"/>
      <c r="AOJ38" s="704"/>
      <c r="AOK38" s="704"/>
      <c r="AOL38" s="704"/>
      <c r="AOM38" s="704"/>
      <c r="AON38" s="704"/>
      <c r="AOO38" s="704"/>
      <c r="AOP38" s="704"/>
      <c r="AOQ38" s="704"/>
      <c r="AOR38" s="704"/>
      <c r="AOS38" s="704"/>
      <c r="AOT38" s="704"/>
      <c r="AOU38" s="704"/>
      <c r="AOV38" s="704"/>
      <c r="AOW38" s="704"/>
      <c r="AOX38" s="704"/>
      <c r="AOY38" s="704"/>
      <c r="AOZ38" s="704"/>
      <c r="APA38" s="704"/>
      <c r="APB38" s="704"/>
      <c r="APC38" s="704"/>
      <c r="APD38" s="704"/>
      <c r="APE38" s="704"/>
      <c r="APF38" s="704"/>
      <c r="APG38" s="704"/>
      <c r="APH38" s="704"/>
      <c r="API38" s="704"/>
      <c r="APJ38" s="704"/>
      <c r="APK38" s="704"/>
      <c r="APL38" s="704"/>
      <c r="APM38" s="704"/>
      <c r="APN38" s="704"/>
      <c r="APO38" s="704"/>
      <c r="APP38" s="704"/>
      <c r="APQ38" s="704"/>
      <c r="APR38" s="704"/>
      <c r="APS38" s="704"/>
      <c r="APT38" s="704"/>
      <c r="APU38" s="704"/>
      <c r="APV38" s="704"/>
      <c r="APW38" s="704"/>
      <c r="APX38" s="704"/>
      <c r="APY38" s="704"/>
      <c r="APZ38" s="704"/>
      <c r="AQA38" s="704"/>
      <c r="AQB38" s="704"/>
      <c r="AQC38" s="704"/>
      <c r="AQD38" s="704"/>
      <c r="AQE38" s="704"/>
      <c r="AQF38" s="704"/>
      <c r="AQG38" s="704"/>
      <c r="AQH38" s="704"/>
      <c r="AQI38" s="704"/>
      <c r="AQJ38" s="704"/>
      <c r="AQK38" s="704"/>
      <c r="AQL38" s="704"/>
      <c r="AQM38" s="704"/>
      <c r="AQN38" s="704"/>
      <c r="AQO38" s="704"/>
      <c r="AQP38" s="704"/>
      <c r="AQQ38" s="704"/>
      <c r="AQR38" s="704"/>
      <c r="AQS38" s="704"/>
      <c r="AQT38" s="704"/>
      <c r="AQU38" s="704"/>
      <c r="AQV38" s="704"/>
      <c r="AQW38" s="704"/>
      <c r="AQX38" s="704"/>
      <c r="AQY38" s="704"/>
      <c r="AQZ38" s="704"/>
      <c r="ARA38" s="704"/>
      <c r="ARB38" s="704"/>
      <c r="ARC38" s="704"/>
      <c r="ARD38" s="704"/>
      <c r="ARE38" s="704"/>
      <c r="ARF38" s="704"/>
      <c r="ARG38" s="704"/>
      <c r="ARH38" s="704"/>
      <c r="ARI38" s="704"/>
      <c r="ARJ38" s="704"/>
      <c r="ARK38" s="704"/>
      <c r="ARL38" s="704"/>
      <c r="ARM38" s="704"/>
      <c r="ARN38" s="704"/>
      <c r="ARO38" s="704"/>
      <c r="ARP38" s="704"/>
      <c r="ARQ38" s="704"/>
      <c r="ARR38" s="704"/>
      <c r="ARS38" s="704"/>
      <c r="ART38" s="704"/>
      <c r="ARU38" s="704"/>
      <c r="ARV38" s="704"/>
      <c r="ARW38" s="704"/>
      <c r="ARX38" s="704"/>
      <c r="ARY38" s="704"/>
      <c r="ARZ38" s="704"/>
      <c r="ASA38" s="704"/>
      <c r="ASB38" s="704"/>
      <c r="ASC38" s="704"/>
      <c r="ASD38" s="704"/>
      <c r="ASE38" s="704"/>
      <c r="ASF38" s="704"/>
      <c r="ASG38" s="704"/>
      <c r="ASH38" s="704"/>
      <c r="ASI38" s="704"/>
      <c r="ASJ38" s="704"/>
      <c r="ASK38" s="704"/>
      <c r="ASL38" s="704"/>
      <c r="ASM38" s="704"/>
      <c r="ASN38" s="704"/>
      <c r="ASO38" s="704"/>
      <c r="ASP38" s="704"/>
      <c r="ASQ38" s="704"/>
      <c r="ASR38" s="704"/>
      <c r="ASS38" s="704"/>
      <c r="AST38" s="704"/>
      <c r="ASU38" s="704"/>
      <c r="ASV38" s="704"/>
      <c r="ASW38" s="704"/>
      <c r="ASX38" s="704"/>
      <c r="ASY38" s="704"/>
      <c r="ASZ38" s="704"/>
      <c r="ATA38" s="704"/>
      <c r="ATB38" s="704"/>
      <c r="ATC38" s="704"/>
      <c r="ATD38" s="704"/>
      <c r="ATE38" s="704"/>
      <c r="ATF38" s="704"/>
      <c r="ATG38" s="704"/>
      <c r="ATH38" s="704"/>
      <c r="ATI38" s="704"/>
      <c r="ATJ38" s="704"/>
      <c r="ATK38" s="704"/>
      <c r="ATL38" s="704"/>
      <c r="ATM38" s="704"/>
      <c r="ATN38" s="704"/>
      <c r="ATO38" s="704"/>
      <c r="ATP38" s="704"/>
      <c r="ATQ38" s="704"/>
      <c r="ATR38" s="704"/>
      <c r="ATS38" s="704"/>
      <c r="ATT38" s="704"/>
      <c r="ATU38" s="704"/>
      <c r="ATV38" s="704"/>
      <c r="ATW38" s="704"/>
      <c r="ATX38" s="704"/>
      <c r="ATY38" s="704"/>
      <c r="ATZ38" s="704"/>
      <c r="AUA38" s="704"/>
      <c r="AUB38" s="704"/>
      <c r="AUC38" s="704"/>
      <c r="AUD38" s="704"/>
      <c r="AUE38" s="704"/>
      <c r="AUF38" s="704"/>
      <c r="AUG38" s="704"/>
      <c r="AUH38" s="704"/>
      <c r="AUI38" s="704"/>
      <c r="AUJ38" s="704"/>
      <c r="AUK38" s="704"/>
      <c r="AUL38" s="704"/>
      <c r="AUM38" s="704"/>
      <c r="AUN38" s="704"/>
      <c r="AUO38" s="704"/>
      <c r="AUP38" s="704"/>
      <c r="AUQ38" s="704"/>
      <c r="AUR38" s="704"/>
      <c r="AUS38" s="704"/>
      <c r="AUT38" s="704"/>
      <c r="AUU38" s="704"/>
      <c r="AUV38" s="704"/>
      <c r="AUW38" s="704"/>
      <c r="AUX38" s="704"/>
      <c r="AUY38" s="704"/>
      <c r="AUZ38" s="704"/>
      <c r="AVA38" s="704"/>
      <c r="AVB38" s="704"/>
      <c r="AVC38" s="704"/>
      <c r="AVD38" s="704"/>
      <c r="AVE38" s="704"/>
      <c r="AVF38" s="704"/>
      <c r="AVG38" s="704"/>
      <c r="AVH38" s="704"/>
      <c r="AVI38" s="704"/>
      <c r="AVJ38" s="704"/>
      <c r="AVK38" s="704"/>
      <c r="AVL38" s="704"/>
      <c r="AVM38" s="704"/>
      <c r="AVN38" s="704"/>
      <c r="AVO38" s="704"/>
      <c r="AVP38" s="704"/>
      <c r="AVQ38" s="704"/>
      <c r="AVR38" s="704"/>
      <c r="AVS38" s="704"/>
      <c r="AVT38" s="704"/>
      <c r="AVU38" s="704"/>
      <c r="AVV38" s="704"/>
      <c r="AVW38" s="704"/>
      <c r="AVX38" s="704"/>
      <c r="AVY38" s="704"/>
      <c r="AVZ38" s="704"/>
      <c r="AWA38" s="704"/>
      <c r="AWB38" s="704"/>
      <c r="AWC38" s="704"/>
      <c r="AWD38" s="704"/>
      <c r="AWE38" s="704"/>
      <c r="AWF38" s="704"/>
      <c r="AWG38" s="704"/>
      <c r="AWH38" s="704"/>
      <c r="AWI38" s="704"/>
      <c r="AWJ38" s="704"/>
      <c r="AWK38" s="704"/>
      <c r="AWL38" s="704"/>
      <c r="AWM38" s="704"/>
      <c r="AWN38" s="704"/>
      <c r="AWO38" s="704"/>
      <c r="AWP38" s="704"/>
      <c r="AWQ38" s="704"/>
      <c r="AWR38" s="704"/>
      <c r="AWS38" s="704"/>
      <c r="AWT38" s="704"/>
      <c r="AWU38" s="704"/>
      <c r="AWV38" s="704"/>
      <c r="AWW38" s="704"/>
      <c r="AWX38" s="704"/>
      <c r="AWY38" s="704"/>
      <c r="AWZ38" s="704"/>
      <c r="AXA38" s="704"/>
      <c r="AXB38" s="704"/>
      <c r="AXC38" s="704"/>
      <c r="AXD38" s="704"/>
      <c r="AXE38" s="704"/>
      <c r="AXF38" s="704"/>
      <c r="AXG38" s="704"/>
      <c r="AXH38" s="704"/>
      <c r="AXI38" s="704"/>
      <c r="AXJ38" s="704"/>
      <c r="AXK38" s="704"/>
      <c r="AXL38" s="704"/>
      <c r="AXM38" s="704"/>
      <c r="AXN38" s="704"/>
      <c r="AXO38" s="704"/>
      <c r="AXP38" s="704"/>
      <c r="AXQ38" s="704"/>
      <c r="AXR38" s="704"/>
      <c r="AXS38" s="704"/>
      <c r="AXT38" s="704"/>
      <c r="AXU38" s="704"/>
      <c r="AXV38" s="704"/>
      <c r="AXW38" s="704"/>
      <c r="AXX38" s="704"/>
      <c r="AXY38" s="704"/>
      <c r="AXZ38" s="704"/>
      <c r="AYA38" s="704"/>
      <c r="AYB38" s="704"/>
      <c r="AYC38" s="704"/>
      <c r="AYD38" s="704"/>
      <c r="AYE38" s="704"/>
      <c r="AYF38" s="704"/>
      <c r="AYG38" s="704"/>
      <c r="AYH38" s="704"/>
      <c r="AYI38" s="704"/>
      <c r="AYJ38" s="704"/>
      <c r="AYK38" s="704"/>
      <c r="AYL38" s="704"/>
      <c r="AYM38" s="704"/>
      <c r="AYN38" s="704"/>
      <c r="AYO38" s="704"/>
      <c r="AYP38" s="704"/>
      <c r="AYQ38" s="704"/>
      <c r="AYR38" s="704"/>
      <c r="AYS38" s="704"/>
      <c r="AYT38" s="704"/>
      <c r="AYU38" s="704"/>
      <c r="AYV38" s="704"/>
      <c r="AYW38" s="704"/>
      <c r="AYX38" s="704"/>
      <c r="AYY38" s="704"/>
      <c r="AYZ38" s="704"/>
      <c r="AZA38" s="704"/>
      <c r="AZB38" s="704"/>
      <c r="AZC38" s="704"/>
      <c r="AZD38" s="704"/>
      <c r="AZE38" s="704"/>
      <c r="AZF38" s="704"/>
      <c r="AZG38" s="704"/>
      <c r="AZH38" s="704"/>
      <c r="AZI38" s="704"/>
      <c r="AZJ38" s="704"/>
      <c r="AZK38" s="704"/>
      <c r="AZL38" s="704"/>
      <c r="AZM38" s="704"/>
      <c r="AZN38" s="704"/>
      <c r="AZO38" s="704"/>
      <c r="AZP38" s="704"/>
      <c r="AZQ38" s="704"/>
      <c r="AZR38" s="704"/>
      <c r="AZS38" s="704"/>
      <c r="AZT38" s="704"/>
      <c r="AZU38" s="704"/>
      <c r="AZV38" s="704"/>
      <c r="AZW38" s="704"/>
      <c r="AZX38" s="704"/>
      <c r="AZY38" s="704"/>
      <c r="AZZ38" s="704"/>
      <c r="BAA38" s="704"/>
      <c r="BAB38" s="704"/>
      <c r="BAC38" s="704"/>
      <c r="BAD38" s="704"/>
      <c r="BAE38" s="704"/>
      <c r="BAF38" s="704"/>
      <c r="BAG38" s="704"/>
      <c r="BAH38" s="704"/>
      <c r="BAI38" s="704"/>
      <c r="BAJ38" s="704"/>
      <c r="BAK38" s="704"/>
      <c r="BAL38" s="704"/>
      <c r="BAM38" s="704"/>
      <c r="BAN38" s="704"/>
      <c r="BAO38" s="704"/>
      <c r="BAP38" s="704"/>
      <c r="BAQ38" s="704"/>
      <c r="BAR38" s="704"/>
      <c r="BAS38" s="704"/>
      <c r="BAT38" s="704"/>
      <c r="BAU38" s="704"/>
      <c r="BAV38" s="704"/>
      <c r="BAW38" s="704"/>
      <c r="BAX38" s="704"/>
      <c r="BAY38" s="704"/>
      <c r="BAZ38" s="704"/>
      <c r="BBA38" s="704"/>
      <c r="BBB38" s="704"/>
      <c r="BBC38" s="704"/>
      <c r="BBD38" s="704"/>
      <c r="BBE38" s="704"/>
      <c r="BBF38" s="704"/>
      <c r="BBG38" s="704"/>
      <c r="BBH38" s="704"/>
      <c r="BBI38" s="704"/>
      <c r="BBJ38" s="704"/>
      <c r="BBK38" s="704"/>
      <c r="BBL38" s="704"/>
      <c r="BBM38" s="704"/>
      <c r="BBN38" s="704"/>
      <c r="BBO38" s="704"/>
      <c r="BBP38" s="704"/>
      <c r="BBQ38" s="704"/>
      <c r="BBR38" s="704"/>
      <c r="BBS38" s="704"/>
      <c r="BBT38" s="704"/>
      <c r="BBU38" s="704"/>
      <c r="BBV38" s="704"/>
      <c r="BBW38" s="704"/>
      <c r="BBX38" s="704"/>
      <c r="BBY38" s="704"/>
      <c r="BBZ38" s="704"/>
      <c r="BCA38" s="704"/>
      <c r="BCB38" s="704"/>
      <c r="BCC38" s="704"/>
      <c r="BCD38" s="704"/>
      <c r="BCE38" s="704"/>
      <c r="BCF38" s="704"/>
      <c r="BCG38" s="704"/>
      <c r="BCH38" s="704"/>
      <c r="BCI38" s="704"/>
      <c r="BCJ38" s="704"/>
      <c r="BCK38" s="704"/>
      <c r="BCL38" s="704"/>
      <c r="BCM38" s="704"/>
      <c r="BCN38" s="704"/>
      <c r="BCO38" s="704"/>
      <c r="BCP38" s="704"/>
      <c r="BCQ38" s="704"/>
      <c r="BCR38" s="704"/>
      <c r="BCS38" s="704"/>
      <c r="BCT38" s="704"/>
      <c r="BCU38" s="704"/>
      <c r="BCV38" s="704"/>
      <c r="BCW38" s="704"/>
      <c r="BCX38" s="704"/>
      <c r="BCY38" s="704"/>
      <c r="BCZ38" s="704"/>
      <c r="BDA38" s="704"/>
      <c r="BDB38" s="704"/>
      <c r="BDC38" s="704"/>
      <c r="BDD38" s="704"/>
      <c r="BDE38" s="704"/>
      <c r="BDF38" s="704"/>
      <c r="BDG38" s="704"/>
      <c r="BDH38" s="704"/>
      <c r="BDI38" s="704"/>
      <c r="BDJ38" s="704"/>
      <c r="BDK38" s="704"/>
      <c r="BDL38" s="704"/>
      <c r="BDM38" s="704"/>
      <c r="BDN38" s="704"/>
      <c r="BDO38" s="704"/>
      <c r="BDP38" s="704"/>
      <c r="BDQ38" s="704"/>
      <c r="BDR38" s="704"/>
      <c r="BDS38" s="704"/>
      <c r="BDT38" s="704"/>
      <c r="BDU38" s="704"/>
      <c r="BDV38" s="704"/>
      <c r="BDW38" s="704"/>
      <c r="BDX38" s="704"/>
      <c r="BDY38" s="704"/>
      <c r="BDZ38" s="704"/>
      <c r="BEA38" s="704"/>
      <c r="BEB38" s="704"/>
      <c r="BEC38" s="704"/>
      <c r="BED38" s="704"/>
      <c r="BEE38" s="704"/>
      <c r="BEF38" s="704"/>
      <c r="BEG38" s="704"/>
      <c r="BEH38" s="704"/>
      <c r="BEI38" s="704"/>
      <c r="BEJ38" s="704"/>
      <c r="BEK38" s="704"/>
      <c r="BEL38" s="704"/>
      <c r="BEM38" s="704"/>
      <c r="BEN38" s="704"/>
      <c r="BEO38" s="704"/>
      <c r="BEP38" s="704"/>
      <c r="BEQ38" s="704"/>
      <c r="BER38" s="704"/>
      <c r="BES38" s="704"/>
      <c r="BET38" s="704"/>
      <c r="BEU38" s="704"/>
      <c r="BEV38" s="704"/>
      <c r="BEW38" s="704"/>
      <c r="BEX38" s="704"/>
      <c r="BEY38" s="704"/>
      <c r="BEZ38" s="704"/>
      <c r="BFA38" s="704"/>
      <c r="BFB38" s="704"/>
      <c r="BFC38" s="704"/>
      <c r="BFD38" s="704"/>
      <c r="BFE38" s="704"/>
      <c r="BFF38" s="704"/>
      <c r="BFG38" s="704"/>
      <c r="BFH38" s="704"/>
      <c r="BFI38" s="704"/>
      <c r="BFJ38" s="704"/>
      <c r="BFK38" s="704"/>
      <c r="BFL38" s="704"/>
      <c r="BFM38" s="704"/>
      <c r="BFN38" s="704"/>
      <c r="BFO38" s="704"/>
      <c r="BFP38" s="704"/>
      <c r="BFQ38" s="704"/>
      <c r="BFR38" s="704"/>
      <c r="BFS38" s="704"/>
      <c r="BFT38" s="704"/>
      <c r="BFU38" s="704"/>
      <c r="BFV38" s="704"/>
      <c r="BFW38" s="704"/>
      <c r="BFX38" s="704"/>
      <c r="BFY38" s="704"/>
      <c r="BFZ38" s="704"/>
      <c r="BGA38" s="704"/>
      <c r="BGB38" s="704"/>
      <c r="BGC38" s="704"/>
      <c r="BGD38" s="704"/>
      <c r="BGE38" s="704"/>
      <c r="BGF38" s="704"/>
      <c r="BGG38" s="704"/>
      <c r="BGH38" s="704"/>
      <c r="BGI38" s="704"/>
      <c r="BGJ38" s="704"/>
      <c r="BGK38" s="704"/>
      <c r="BGL38" s="704"/>
      <c r="BGM38" s="704"/>
      <c r="BGN38" s="704"/>
      <c r="BGO38" s="704"/>
      <c r="BGP38" s="704"/>
      <c r="BGQ38" s="704"/>
      <c r="BGR38" s="704"/>
      <c r="BGS38" s="704"/>
      <c r="BGT38" s="704"/>
      <c r="BGU38" s="704"/>
      <c r="BGV38" s="704"/>
      <c r="BGW38" s="704"/>
      <c r="BGX38" s="704"/>
      <c r="BGY38" s="704"/>
      <c r="BGZ38" s="704"/>
      <c r="BHA38" s="704"/>
      <c r="BHB38" s="704"/>
      <c r="BHC38" s="704"/>
      <c r="BHD38" s="704"/>
      <c r="BHE38" s="704"/>
      <c r="BHF38" s="704"/>
      <c r="BHG38" s="704"/>
      <c r="BHH38" s="704"/>
      <c r="BHI38" s="704"/>
      <c r="BHJ38" s="704"/>
      <c r="BHK38" s="704"/>
      <c r="BHL38" s="704"/>
      <c r="BHM38" s="704"/>
      <c r="BHN38" s="704"/>
      <c r="BHO38" s="704"/>
      <c r="BHP38" s="704"/>
      <c r="BHQ38" s="704"/>
      <c r="BHR38" s="704"/>
      <c r="BHS38" s="704"/>
      <c r="BHT38" s="704"/>
      <c r="BHU38" s="704"/>
      <c r="BHV38" s="704"/>
      <c r="BHW38" s="704"/>
      <c r="BHX38" s="704"/>
      <c r="BHY38" s="704"/>
      <c r="BHZ38" s="704"/>
      <c r="BIA38" s="704"/>
      <c r="BIB38" s="704"/>
      <c r="BIC38" s="704"/>
      <c r="BID38" s="704"/>
      <c r="BIE38" s="704"/>
      <c r="BIF38" s="704"/>
      <c r="BIG38" s="704"/>
      <c r="BIH38" s="704"/>
      <c r="BII38" s="704"/>
      <c r="BIJ38" s="704"/>
      <c r="BIK38" s="704"/>
      <c r="BIL38" s="704"/>
      <c r="BIM38" s="704"/>
      <c r="BIN38" s="704"/>
      <c r="BIO38" s="704"/>
      <c r="BIP38" s="704"/>
      <c r="BIQ38" s="704"/>
      <c r="BIR38" s="704"/>
      <c r="BIS38" s="704"/>
      <c r="BIT38" s="704"/>
      <c r="BIU38" s="704"/>
      <c r="BIV38" s="704"/>
      <c r="BIW38" s="704"/>
      <c r="BIX38" s="704"/>
      <c r="BIY38" s="704"/>
      <c r="BIZ38" s="704"/>
      <c r="BJA38" s="704"/>
      <c r="BJB38" s="704"/>
      <c r="BJC38" s="704"/>
      <c r="BJD38" s="704"/>
      <c r="BJE38" s="704"/>
      <c r="BJF38" s="704"/>
      <c r="BJG38" s="704"/>
      <c r="BJH38" s="704"/>
      <c r="BJI38" s="704"/>
      <c r="BJJ38" s="704"/>
      <c r="BJK38" s="704"/>
      <c r="BJL38" s="704"/>
      <c r="BJM38" s="704"/>
      <c r="BJN38" s="704"/>
      <c r="BJO38" s="704"/>
      <c r="BJP38" s="704"/>
      <c r="BJQ38" s="704"/>
      <c r="BJR38" s="704"/>
      <c r="BJS38" s="704"/>
      <c r="BJT38" s="704"/>
      <c r="BJU38" s="704"/>
      <c r="BJV38" s="704"/>
      <c r="BJW38" s="704"/>
      <c r="BJX38" s="704"/>
      <c r="BJY38" s="704"/>
      <c r="BJZ38" s="704"/>
      <c r="BKA38" s="704"/>
      <c r="BKB38" s="704"/>
      <c r="BKC38" s="704"/>
      <c r="BKD38" s="704"/>
      <c r="BKE38" s="704"/>
      <c r="BKF38" s="704"/>
      <c r="BKG38" s="704"/>
      <c r="BKH38" s="704"/>
      <c r="BKI38" s="704"/>
      <c r="BKJ38" s="704"/>
      <c r="BKK38" s="704"/>
      <c r="BKL38" s="704"/>
      <c r="BKM38" s="704"/>
      <c r="BKN38" s="704"/>
      <c r="BKO38" s="704"/>
      <c r="BKP38" s="704"/>
      <c r="BKQ38" s="704"/>
      <c r="BKR38" s="704"/>
      <c r="BKS38" s="704"/>
      <c r="BKT38" s="704"/>
      <c r="BKU38" s="704"/>
      <c r="BKV38" s="704"/>
      <c r="BKW38" s="704"/>
      <c r="BKX38" s="704"/>
      <c r="BKY38" s="704"/>
      <c r="BKZ38" s="704"/>
      <c r="BLA38" s="704"/>
      <c r="BLB38" s="704"/>
      <c r="BLC38" s="704"/>
      <c r="BLD38" s="704"/>
      <c r="BLE38" s="704"/>
      <c r="BLF38" s="704"/>
      <c r="BLG38" s="704"/>
      <c r="BLH38" s="704"/>
      <c r="BLI38" s="704"/>
      <c r="BLJ38" s="704"/>
      <c r="BLK38" s="704"/>
      <c r="BLL38" s="704"/>
      <c r="BLM38" s="704"/>
      <c r="BLN38" s="704"/>
      <c r="BLO38" s="704"/>
      <c r="BLP38" s="704"/>
      <c r="BLQ38" s="704"/>
      <c r="BLR38" s="704"/>
      <c r="BLS38" s="704"/>
      <c r="BLT38" s="704"/>
      <c r="BLU38" s="704"/>
      <c r="BLV38" s="704"/>
      <c r="BLW38" s="704"/>
      <c r="BLX38" s="704"/>
      <c r="BLY38" s="704"/>
      <c r="BLZ38" s="704"/>
      <c r="BMA38" s="704"/>
      <c r="BMB38" s="704"/>
      <c r="BMC38" s="704"/>
      <c r="BMD38" s="704"/>
      <c r="BME38" s="704"/>
      <c r="BMF38" s="704"/>
      <c r="BMG38" s="704"/>
      <c r="BMH38" s="704"/>
      <c r="BMI38" s="704"/>
      <c r="BMJ38" s="704"/>
      <c r="BMK38" s="704"/>
      <c r="BML38" s="704"/>
      <c r="BMM38" s="704"/>
      <c r="BMN38" s="704"/>
      <c r="BMO38" s="704"/>
      <c r="BMP38" s="704"/>
      <c r="BMQ38" s="704"/>
      <c r="BMR38" s="704"/>
      <c r="BMS38" s="704"/>
      <c r="BMT38" s="704"/>
      <c r="BMU38" s="704"/>
      <c r="BMV38" s="704"/>
      <c r="BMW38" s="704"/>
      <c r="BMX38" s="704"/>
      <c r="BMY38" s="704"/>
      <c r="BMZ38" s="704"/>
      <c r="BNA38" s="704"/>
      <c r="BNB38" s="704"/>
      <c r="BNC38" s="704"/>
      <c r="BND38" s="704"/>
      <c r="BNE38" s="704"/>
      <c r="BNF38" s="704"/>
      <c r="BNG38" s="704"/>
      <c r="BNH38" s="704"/>
      <c r="BNI38" s="704"/>
      <c r="BNJ38" s="704"/>
      <c r="BNK38" s="704"/>
      <c r="BNL38" s="704"/>
      <c r="BNM38" s="704"/>
      <c r="BNN38" s="704"/>
      <c r="BNO38" s="704"/>
      <c r="BNP38" s="704"/>
      <c r="BNQ38" s="704"/>
      <c r="BNR38" s="704"/>
      <c r="BNS38" s="704"/>
      <c r="BNT38" s="704"/>
      <c r="BNU38" s="704"/>
      <c r="BNV38" s="704"/>
      <c r="BNW38" s="704"/>
      <c r="BNX38" s="704"/>
      <c r="BNY38" s="704"/>
      <c r="BNZ38" s="704"/>
      <c r="BOA38" s="704"/>
      <c r="BOB38" s="704"/>
      <c r="BOC38" s="704"/>
      <c r="BOD38" s="704"/>
      <c r="BOE38" s="704"/>
      <c r="BOF38" s="704"/>
      <c r="BOG38" s="704"/>
      <c r="BOH38" s="704"/>
      <c r="BOI38" s="704"/>
      <c r="BOJ38" s="704"/>
      <c r="BOK38" s="704"/>
      <c r="BOL38" s="704"/>
      <c r="BOM38" s="704"/>
      <c r="BON38" s="704"/>
      <c r="BOO38" s="704"/>
      <c r="BOP38" s="704"/>
      <c r="BOQ38" s="704"/>
      <c r="BOR38" s="704"/>
      <c r="BOS38" s="704"/>
      <c r="BOT38" s="704"/>
      <c r="BOU38" s="704"/>
      <c r="BOV38" s="704"/>
      <c r="BOW38" s="704"/>
      <c r="BOX38" s="704"/>
      <c r="BOY38" s="704"/>
      <c r="BOZ38" s="704"/>
      <c r="BPA38" s="704"/>
      <c r="BPB38" s="704"/>
      <c r="BPC38" s="704"/>
      <c r="BPD38" s="704"/>
      <c r="BPE38" s="704"/>
      <c r="BPF38" s="704"/>
      <c r="BPG38" s="704"/>
      <c r="BPH38" s="704"/>
      <c r="BPI38" s="704"/>
      <c r="BPJ38" s="704"/>
      <c r="BPK38" s="704"/>
      <c r="BPL38" s="704"/>
      <c r="BPM38" s="704"/>
      <c r="BPN38" s="704"/>
      <c r="BPO38" s="704"/>
      <c r="BPP38" s="704"/>
      <c r="BPQ38" s="704"/>
      <c r="BPR38" s="704"/>
      <c r="BPS38" s="704"/>
      <c r="BPT38" s="704"/>
      <c r="BPU38" s="704"/>
      <c r="BPV38" s="704"/>
      <c r="BPW38" s="704"/>
      <c r="BPX38" s="704"/>
      <c r="BPY38" s="704"/>
      <c r="BPZ38" s="704"/>
      <c r="BQA38" s="704"/>
      <c r="BQB38" s="704"/>
      <c r="BQC38" s="704"/>
      <c r="BQD38" s="704"/>
      <c r="BQE38" s="704"/>
      <c r="BQF38" s="704"/>
      <c r="BQG38" s="704"/>
      <c r="BQH38" s="704"/>
      <c r="BQI38" s="704"/>
      <c r="BQJ38" s="704"/>
      <c r="BQK38" s="704"/>
      <c r="BQL38" s="704"/>
      <c r="BQM38" s="704"/>
      <c r="BQN38" s="704"/>
      <c r="BQO38" s="704"/>
      <c r="BQP38" s="704"/>
      <c r="BQQ38" s="704"/>
      <c r="BQR38" s="704"/>
      <c r="BQS38" s="704"/>
      <c r="BQT38" s="704"/>
      <c r="BQU38" s="704"/>
      <c r="BQV38" s="704"/>
      <c r="BQW38" s="704"/>
      <c r="BQX38" s="704"/>
      <c r="BQY38" s="704"/>
      <c r="BQZ38" s="704"/>
      <c r="BRA38" s="704"/>
      <c r="BRB38" s="704"/>
      <c r="BRC38" s="704"/>
      <c r="BRD38" s="704"/>
      <c r="BRE38" s="704"/>
      <c r="BRF38" s="704"/>
      <c r="BRG38" s="704"/>
      <c r="BRH38" s="704"/>
      <c r="BRI38" s="704"/>
      <c r="BRJ38" s="704"/>
      <c r="BRK38" s="704"/>
      <c r="BRL38" s="704"/>
      <c r="BRM38" s="704"/>
      <c r="BRN38" s="704"/>
      <c r="BRO38" s="704"/>
      <c r="BRP38" s="704"/>
      <c r="BRQ38" s="704"/>
      <c r="BRR38" s="704"/>
      <c r="BRS38" s="704"/>
      <c r="BRT38" s="704"/>
      <c r="BRU38" s="704"/>
      <c r="BRV38" s="704"/>
      <c r="BRW38" s="704"/>
      <c r="BRX38" s="704"/>
      <c r="BRY38" s="704"/>
      <c r="BRZ38" s="704"/>
      <c r="BSA38" s="704"/>
      <c r="BSB38" s="704"/>
      <c r="BSC38" s="704"/>
      <c r="BSD38" s="704"/>
      <c r="BSE38" s="704"/>
      <c r="BSF38" s="704"/>
      <c r="BSG38" s="704"/>
      <c r="BSH38" s="704"/>
      <c r="BSI38" s="704"/>
      <c r="BSJ38" s="704"/>
      <c r="BSK38" s="704"/>
      <c r="BSL38" s="704"/>
      <c r="BSM38" s="704"/>
      <c r="BSN38" s="704"/>
      <c r="BSO38" s="704"/>
      <c r="BSP38" s="704"/>
      <c r="BSQ38" s="704"/>
      <c r="BSR38" s="704"/>
      <c r="BSS38" s="704"/>
      <c r="BST38" s="704"/>
      <c r="BSU38" s="704"/>
      <c r="BSV38" s="704"/>
      <c r="BSW38" s="704"/>
      <c r="BSX38" s="704"/>
      <c r="BSY38" s="704"/>
      <c r="BSZ38" s="704"/>
      <c r="BTA38" s="704"/>
      <c r="BTB38" s="704"/>
      <c r="BTC38" s="704"/>
      <c r="BTD38" s="704"/>
      <c r="BTE38" s="704"/>
      <c r="BTF38" s="704"/>
      <c r="BTG38" s="704"/>
      <c r="BTH38" s="704"/>
      <c r="BTI38" s="704"/>
      <c r="BTJ38" s="704"/>
      <c r="BTK38" s="704"/>
      <c r="BTL38" s="704"/>
      <c r="BTM38" s="704"/>
      <c r="BTN38" s="704"/>
      <c r="BTO38" s="704"/>
      <c r="BTP38" s="704"/>
      <c r="BTQ38" s="704"/>
      <c r="BTR38" s="704"/>
      <c r="BTS38" s="704"/>
      <c r="BTT38" s="704"/>
      <c r="BTU38" s="704"/>
      <c r="BTV38" s="704"/>
      <c r="BTW38" s="704"/>
      <c r="BTX38" s="704"/>
      <c r="BTY38" s="704"/>
      <c r="BTZ38" s="704"/>
      <c r="BUA38" s="704"/>
      <c r="BUB38" s="704"/>
      <c r="BUC38" s="704"/>
      <c r="BUD38" s="704"/>
      <c r="BUE38" s="704"/>
      <c r="BUF38" s="704"/>
      <c r="BUG38" s="704"/>
      <c r="BUH38" s="704"/>
      <c r="BUI38" s="704"/>
      <c r="BUJ38" s="704"/>
      <c r="BUK38" s="704"/>
      <c r="BUL38" s="704"/>
      <c r="BUM38" s="704"/>
      <c r="BUN38" s="704"/>
      <c r="BUO38" s="704"/>
      <c r="BUP38" s="704"/>
      <c r="BUQ38" s="704"/>
      <c r="BUR38" s="704"/>
      <c r="BUS38" s="704"/>
      <c r="BUT38" s="704"/>
      <c r="BUU38" s="704"/>
      <c r="BUV38" s="704"/>
      <c r="BUW38" s="704"/>
      <c r="BUX38" s="704"/>
      <c r="BUY38" s="704"/>
      <c r="BUZ38" s="704"/>
      <c r="BVA38" s="704"/>
      <c r="BVB38" s="704"/>
      <c r="BVC38" s="704"/>
      <c r="BVD38" s="704"/>
      <c r="BVE38" s="704"/>
      <c r="BVF38" s="704"/>
      <c r="BVG38" s="704"/>
      <c r="BVH38" s="704"/>
      <c r="BVI38" s="704"/>
      <c r="BVJ38" s="704"/>
      <c r="BVK38" s="704"/>
      <c r="BVL38" s="704"/>
      <c r="BVM38" s="704"/>
      <c r="BVN38" s="704"/>
      <c r="BVO38" s="704"/>
      <c r="BVP38" s="704"/>
      <c r="BVQ38" s="704"/>
      <c r="BVR38" s="704"/>
      <c r="BVS38" s="704"/>
      <c r="BVT38" s="704"/>
      <c r="BVU38" s="704"/>
      <c r="BVV38" s="704"/>
      <c r="BVW38" s="704"/>
      <c r="BVX38" s="704"/>
      <c r="BVY38" s="704"/>
      <c r="BVZ38" s="704"/>
      <c r="BWA38" s="704"/>
      <c r="BWB38" s="704"/>
      <c r="BWC38" s="704"/>
      <c r="BWD38" s="704"/>
      <c r="BWE38" s="704"/>
      <c r="BWF38" s="704"/>
      <c r="BWG38" s="704"/>
      <c r="BWH38" s="704"/>
      <c r="BWI38" s="704"/>
      <c r="BWJ38" s="704"/>
      <c r="BWK38" s="704"/>
      <c r="BWL38" s="704"/>
      <c r="BWM38" s="704"/>
      <c r="BWN38" s="704"/>
      <c r="BWO38" s="704"/>
      <c r="BWP38" s="704"/>
      <c r="BWQ38" s="704"/>
      <c r="BWR38" s="704"/>
      <c r="BWS38" s="704"/>
      <c r="BWT38" s="704"/>
      <c r="BWU38" s="704"/>
      <c r="BWV38" s="704"/>
      <c r="BWW38" s="704"/>
      <c r="BWX38" s="704"/>
      <c r="BWY38" s="704"/>
      <c r="BWZ38" s="704"/>
      <c r="BXA38" s="704"/>
      <c r="BXB38" s="704"/>
      <c r="BXC38" s="704"/>
      <c r="BXD38" s="704"/>
      <c r="BXE38" s="704"/>
      <c r="BXF38" s="704"/>
      <c r="BXG38" s="704"/>
      <c r="BXH38" s="704"/>
      <c r="BXI38" s="704"/>
      <c r="BXJ38" s="704"/>
      <c r="BXK38" s="704"/>
      <c r="BXL38" s="704"/>
      <c r="BXM38" s="704"/>
      <c r="BXN38" s="704"/>
      <c r="BXO38" s="704"/>
      <c r="BXP38" s="704"/>
      <c r="BXQ38" s="704"/>
      <c r="BXR38" s="704"/>
      <c r="BXS38" s="704"/>
      <c r="BXT38" s="704"/>
      <c r="BXU38" s="704"/>
      <c r="BXV38" s="704"/>
      <c r="BXW38" s="704"/>
      <c r="BXX38" s="704"/>
      <c r="BXY38" s="704"/>
      <c r="BXZ38" s="704"/>
      <c r="BYA38" s="704"/>
      <c r="BYB38" s="704"/>
      <c r="BYC38" s="704"/>
      <c r="BYD38" s="704"/>
      <c r="BYE38" s="704"/>
      <c r="BYF38" s="704"/>
      <c r="BYG38" s="704"/>
      <c r="BYH38" s="704"/>
      <c r="BYI38" s="704"/>
      <c r="BYJ38" s="704"/>
      <c r="BYK38" s="704"/>
      <c r="BYL38" s="704"/>
      <c r="BYM38" s="704"/>
      <c r="BYN38" s="704"/>
      <c r="BYO38" s="704"/>
      <c r="BYP38" s="704"/>
      <c r="BYQ38" s="704"/>
      <c r="BYR38" s="704"/>
      <c r="BYS38" s="704"/>
      <c r="BYT38" s="704"/>
      <c r="BYU38" s="704"/>
      <c r="BYV38" s="704"/>
      <c r="BYW38" s="704"/>
      <c r="BYX38" s="704"/>
      <c r="BYY38" s="704"/>
      <c r="BYZ38" s="704"/>
      <c r="BZA38" s="704"/>
      <c r="BZB38" s="704"/>
      <c r="BZC38" s="704"/>
      <c r="BZD38" s="704"/>
      <c r="BZE38" s="704"/>
      <c r="BZF38" s="704"/>
      <c r="BZG38" s="704"/>
      <c r="BZH38" s="704"/>
      <c r="BZI38" s="704"/>
      <c r="BZJ38" s="704"/>
      <c r="BZK38" s="704"/>
      <c r="BZL38" s="704"/>
      <c r="BZM38" s="704"/>
      <c r="BZN38" s="704"/>
      <c r="BZO38" s="704"/>
      <c r="BZP38" s="704"/>
      <c r="BZQ38" s="704"/>
      <c r="BZR38" s="704"/>
      <c r="BZS38" s="704"/>
      <c r="BZT38" s="704"/>
      <c r="BZU38" s="704"/>
      <c r="BZV38" s="704"/>
      <c r="BZW38" s="704"/>
      <c r="BZX38" s="704"/>
      <c r="BZY38" s="704"/>
      <c r="BZZ38" s="704"/>
      <c r="CAA38" s="704"/>
      <c r="CAB38" s="704"/>
      <c r="CAC38" s="704"/>
      <c r="CAD38" s="704"/>
      <c r="CAE38" s="704"/>
      <c r="CAF38" s="704"/>
      <c r="CAG38" s="704"/>
      <c r="CAH38" s="704"/>
      <c r="CAI38" s="704"/>
      <c r="CAJ38" s="704"/>
      <c r="CAK38" s="704"/>
      <c r="CAL38" s="704"/>
      <c r="CAM38" s="704"/>
      <c r="CAN38" s="704"/>
      <c r="CAO38" s="704"/>
      <c r="CAP38" s="704"/>
      <c r="CAQ38" s="704"/>
      <c r="CAR38" s="704"/>
      <c r="CAS38" s="704"/>
      <c r="CAT38" s="704"/>
      <c r="CAU38" s="704"/>
      <c r="CAV38" s="704"/>
      <c r="CAW38" s="704"/>
      <c r="CAX38" s="704"/>
      <c r="CAY38" s="704"/>
      <c r="CAZ38" s="704"/>
      <c r="CBA38" s="704"/>
      <c r="CBB38" s="704"/>
      <c r="CBC38" s="704"/>
      <c r="CBD38" s="704"/>
      <c r="CBE38" s="704"/>
      <c r="CBF38" s="704"/>
      <c r="CBG38" s="704"/>
      <c r="CBH38" s="704"/>
      <c r="CBI38" s="704"/>
      <c r="CBJ38" s="704"/>
      <c r="CBK38" s="704"/>
      <c r="CBL38" s="704"/>
      <c r="CBM38" s="704"/>
      <c r="CBN38" s="704"/>
      <c r="CBO38" s="704"/>
      <c r="CBP38" s="704"/>
      <c r="CBQ38" s="704"/>
      <c r="CBR38" s="704"/>
      <c r="CBS38" s="704"/>
      <c r="CBT38" s="704"/>
      <c r="CBU38" s="704"/>
      <c r="CBV38" s="704"/>
      <c r="CBW38" s="704"/>
      <c r="CBX38" s="704"/>
      <c r="CBY38" s="704"/>
      <c r="CBZ38" s="704"/>
      <c r="CCA38" s="704"/>
      <c r="CCB38" s="704"/>
      <c r="CCC38" s="704"/>
      <c r="CCD38" s="704"/>
      <c r="CCE38" s="704"/>
      <c r="CCF38" s="704"/>
      <c r="CCG38" s="704"/>
      <c r="CCH38" s="704"/>
      <c r="CCI38" s="704"/>
      <c r="CCJ38" s="704"/>
      <c r="CCK38" s="704"/>
      <c r="CCL38" s="704"/>
      <c r="CCM38" s="704"/>
      <c r="CCN38" s="704"/>
      <c r="CCO38" s="704"/>
      <c r="CCP38" s="704"/>
      <c r="CCQ38" s="704"/>
      <c r="CCR38" s="704"/>
      <c r="CCS38" s="704"/>
      <c r="CCT38" s="704"/>
      <c r="CCU38" s="704"/>
      <c r="CCV38" s="704"/>
      <c r="CCW38" s="704"/>
      <c r="CCX38" s="704"/>
      <c r="CCY38" s="704"/>
      <c r="CCZ38" s="704"/>
      <c r="CDA38" s="704"/>
      <c r="CDB38" s="704"/>
      <c r="CDC38" s="704"/>
      <c r="CDD38" s="704"/>
      <c r="CDE38" s="704"/>
      <c r="CDF38" s="704"/>
      <c r="CDG38" s="704"/>
      <c r="CDH38" s="704"/>
      <c r="CDI38" s="704"/>
      <c r="CDJ38" s="704"/>
      <c r="CDK38" s="704"/>
      <c r="CDL38" s="704"/>
      <c r="CDM38" s="704"/>
      <c r="CDN38" s="704"/>
      <c r="CDO38" s="704"/>
      <c r="CDP38" s="704"/>
      <c r="CDQ38" s="704"/>
      <c r="CDR38" s="704"/>
      <c r="CDS38" s="704"/>
      <c r="CDT38" s="704"/>
      <c r="CDU38" s="704"/>
      <c r="CDV38" s="704"/>
      <c r="CDW38" s="704"/>
      <c r="CDX38" s="704"/>
      <c r="CDY38" s="704"/>
      <c r="CDZ38" s="704"/>
      <c r="CEA38" s="704"/>
      <c r="CEB38" s="704"/>
      <c r="CEC38" s="704"/>
      <c r="CED38" s="704"/>
      <c r="CEE38" s="704"/>
      <c r="CEF38" s="704"/>
      <c r="CEG38" s="704"/>
      <c r="CEH38" s="704"/>
      <c r="CEI38" s="704"/>
      <c r="CEJ38" s="704"/>
      <c r="CEK38" s="704"/>
      <c r="CEL38" s="704"/>
      <c r="CEM38" s="704"/>
      <c r="CEN38" s="704"/>
      <c r="CEO38" s="704"/>
      <c r="CEP38" s="704"/>
      <c r="CEQ38" s="704"/>
      <c r="CER38" s="704"/>
      <c r="CES38" s="704"/>
      <c r="CET38" s="704"/>
      <c r="CEU38" s="704"/>
      <c r="CEV38" s="704"/>
      <c r="CEW38" s="704"/>
      <c r="CEX38" s="704"/>
      <c r="CEY38" s="704"/>
      <c r="CEZ38" s="704"/>
      <c r="CFA38" s="704"/>
      <c r="CFB38" s="704"/>
      <c r="CFC38" s="704"/>
      <c r="CFD38" s="704"/>
      <c r="CFE38" s="704"/>
      <c r="CFF38" s="704"/>
      <c r="CFG38" s="704"/>
      <c r="CFH38" s="704"/>
      <c r="CFI38" s="704"/>
      <c r="CFJ38" s="704"/>
      <c r="CFK38" s="704"/>
      <c r="CFL38" s="704"/>
      <c r="CFM38" s="704"/>
      <c r="CFN38" s="704"/>
      <c r="CFO38" s="704"/>
      <c r="CFP38" s="704"/>
      <c r="CFQ38" s="704"/>
      <c r="CFR38" s="704"/>
      <c r="CFS38" s="704"/>
      <c r="CFT38" s="704"/>
      <c r="CFU38" s="704"/>
      <c r="CFV38" s="704"/>
      <c r="CFW38" s="704"/>
      <c r="CFX38" s="704"/>
      <c r="CFY38" s="704"/>
      <c r="CFZ38" s="704"/>
      <c r="CGA38" s="704"/>
      <c r="CGB38" s="704"/>
      <c r="CGC38" s="704"/>
      <c r="CGD38" s="704"/>
      <c r="CGE38" s="704"/>
      <c r="CGF38" s="704"/>
      <c r="CGG38" s="704"/>
      <c r="CGH38" s="704"/>
      <c r="CGI38" s="704"/>
      <c r="CGJ38" s="704"/>
      <c r="CGK38" s="704"/>
      <c r="CGL38" s="704"/>
      <c r="CGM38" s="704"/>
      <c r="CGN38" s="704"/>
      <c r="CGO38" s="704"/>
      <c r="CGP38" s="704"/>
      <c r="CGQ38" s="704"/>
      <c r="CGR38" s="704"/>
      <c r="CGS38" s="704"/>
      <c r="CGT38" s="704"/>
      <c r="CGU38" s="704"/>
      <c r="CGV38" s="704"/>
      <c r="CGW38" s="704"/>
      <c r="CGX38" s="704"/>
      <c r="CGY38" s="704"/>
      <c r="CGZ38" s="704"/>
      <c r="CHA38" s="704"/>
      <c r="CHB38" s="704"/>
      <c r="CHC38" s="704"/>
      <c r="CHD38" s="704"/>
      <c r="CHE38" s="704"/>
      <c r="CHF38" s="704"/>
      <c r="CHG38" s="704"/>
      <c r="CHH38" s="704"/>
      <c r="CHI38" s="704"/>
      <c r="CHJ38" s="704"/>
      <c r="CHK38" s="704"/>
      <c r="CHL38" s="704"/>
      <c r="CHM38" s="704"/>
      <c r="CHN38" s="704"/>
      <c r="CHO38" s="704"/>
      <c r="CHP38" s="704"/>
      <c r="CHQ38" s="704"/>
      <c r="CHR38" s="704"/>
      <c r="CHS38" s="704"/>
      <c r="CHT38" s="704"/>
      <c r="CHU38" s="704"/>
      <c r="CHV38" s="704"/>
      <c r="CHW38" s="704"/>
      <c r="CHX38" s="704"/>
      <c r="CHY38" s="704"/>
      <c r="CHZ38" s="704"/>
      <c r="CIA38" s="704"/>
      <c r="CIB38" s="704"/>
      <c r="CIC38" s="704"/>
      <c r="CID38" s="704"/>
      <c r="CIE38" s="704"/>
      <c r="CIF38" s="704"/>
      <c r="CIG38" s="704"/>
      <c r="CIH38" s="704"/>
      <c r="CII38" s="704"/>
      <c r="CIJ38" s="704"/>
      <c r="CIK38" s="704"/>
      <c r="CIL38" s="704"/>
      <c r="CIM38" s="704"/>
      <c r="CIN38" s="704"/>
      <c r="CIO38" s="704"/>
      <c r="CIP38" s="704"/>
      <c r="CIQ38" s="704"/>
      <c r="CIR38" s="704"/>
      <c r="CIS38" s="704"/>
      <c r="CIT38" s="704"/>
      <c r="CIU38" s="704"/>
      <c r="CIV38" s="704"/>
      <c r="CIW38" s="704"/>
      <c r="CIX38" s="704"/>
      <c r="CIY38" s="704"/>
      <c r="CIZ38" s="704"/>
      <c r="CJA38" s="704"/>
      <c r="CJB38" s="704"/>
      <c r="CJC38" s="704"/>
      <c r="CJD38" s="704"/>
      <c r="CJE38" s="704"/>
      <c r="CJF38" s="704"/>
      <c r="CJG38" s="704"/>
      <c r="CJH38" s="704"/>
      <c r="CJI38" s="704"/>
      <c r="CJJ38" s="704"/>
      <c r="CJK38" s="704"/>
      <c r="CJL38" s="704"/>
      <c r="CJM38" s="704"/>
      <c r="CJN38" s="704"/>
      <c r="CJO38" s="704"/>
      <c r="CJP38" s="704"/>
      <c r="CJQ38" s="704"/>
      <c r="CJR38" s="704"/>
      <c r="CJS38" s="704"/>
      <c r="CJT38" s="704"/>
      <c r="CJU38" s="704"/>
      <c r="CJV38" s="704"/>
      <c r="CJW38" s="704"/>
      <c r="CJX38" s="704"/>
      <c r="CJY38" s="704"/>
      <c r="CJZ38" s="704"/>
      <c r="CKA38" s="704"/>
      <c r="CKB38" s="704"/>
      <c r="CKC38" s="704"/>
      <c r="CKD38" s="704"/>
      <c r="CKE38" s="704"/>
      <c r="CKF38" s="704"/>
      <c r="CKG38" s="704"/>
      <c r="CKH38" s="704"/>
      <c r="CKI38" s="704"/>
      <c r="CKJ38" s="704"/>
      <c r="CKK38" s="704"/>
      <c r="CKL38" s="704"/>
      <c r="CKM38" s="704"/>
      <c r="CKN38" s="704"/>
      <c r="CKO38" s="704"/>
      <c r="CKP38" s="704"/>
      <c r="CKQ38" s="704"/>
      <c r="CKR38" s="704"/>
      <c r="CKS38" s="704"/>
      <c r="CKT38" s="704"/>
      <c r="CKU38" s="704"/>
      <c r="CKV38" s="704"/>
      <c r="CKW38" s="704"/>
      <c r="CKX38" s="704"/>
      <c r="CKY38" s="704"/>
      <c r="CKZ38" s="704"/>
      <c r="CLA38" s="704"/>
      <c r="CLB38" s="704"/>
      <c r="CLC38" s="704"/>
      <c r="CLD38" s="704"/>
      <c r="CLE38" s="704"/>
      <c r="CLF38" s="704"/>
      <c r="CLG38" s="704"/>
      <c r="CLH38" s="704"/>
      <c r="CLI38" s="704"/>
      <c r="CLJ38" s="704"/>
      <c r="CLK38" s="704"/>
      <c r="CLL38" s="704"/>
      <c r="CLM38" s="704"/>
      <c r="CLN38" s="704"/>
      <c r="CLO38" s="704"/>
      <c r="CLP38" s="704"/>
      <c r="CLQ38" s="704"/>
      <c r="CLR38" s="704"/>
      <c r="CLS38" s="704"/>
      <c r="CLT38" s="704"/>
      <c r="CLU38" s="704"/>
      <c r="CLV38" s="704"/>
      <c r="CLW38" s="704"/>
      <c r="CLX38" s="704"/>
      <c r="CLY38" s="704"/>
      <c r="CLZ38" s="704"/>
      <c r="CMA38" s="704"/>
      <c r="CMB38" s="704"/>
      <c r="CMC38" s="704"/>
      <c r="CMD38" s="704"/>
      <c r="CME38" s="704"/>
      <c r="CMF38" s="704"/>
      <c r="CMG38" s="704"/>
      <c r="CMH38" s="704"/>
      <c r="CMI38" s="704"/>
      <c r="CMJ38" s="704"/>
      <c r="CMK38" s="704"/>
      <c r="CML38" s="704"/>
      <c r="CMM38" s="704"/>
      <c r="CMN38" s="704"/>
      <c r="CMO38" s="704"/>
      <c r="CMP38" s="704"/>
      <c r="CMQ38" s="704"/>
      <c r="CMR38" s="704"/>
      <c r="CMS38" s="704"/>
      <c r="CMT38" s="704"/>
      <c r="CMU38" s="704"/>
      <c r="CMV38" s="704"/>
      <c r="CMW38" s="704"/>
      <c r="CMX38" s="704"/>
      <c r="CMY38" s="704"/>
      <c r="CMZ38" s="704"/>
      <c r="CNA38" s="704"/>
      <c r="CNB38" s="704"/>
      <c r="CNC38" s="704"/>
      <c r="CND38" s="704"/>
      <c r="CNE38" s="704"/>
      <c r="CNF38" s="704"/>
      <c r="CNG38" s="704"/>
      <c r="CNH38" s="704"/>
      <c r="CNI38" s="704"/>
      <c r="CNJ38" s="704"/>
      <c r="CNK38" s="704"/>
      <c r="CNL38" s="704"/>
      <c r="CNM38" s="704"/>
      <c r="CNN38" s="704"/>
      <c r="CNO38" s="704"/>
      <c r="CNP38" s="704"/>
      <c r="CNQ38" s="704"/>
      <c r="CNR38" s="704"/>
      <c r="CNS38" s="704"/>
      <c r="CNT38" s="704"/>
      <c r="CNU38" s="704"/>
      <c r="CNV38" s="704"/>
      <c r="CNW38" s="704"/>
      <c r="CNX38" s="704"/>
      <c r="CNY38" s="704"/>
      <c r="CNZ38" s="704"/>
      <c r="COA38" s="704"/>
      <c r="COB38" s="704"/>
      <c r="COC38" s="704"/>
      <c r="COD38" s="704"/>
      <c r="COE38" s="704"/>
      <c r="COF38" s="704"/>
      <c r="COG38" s="704"/>
      <c r="COH38" s="704"/>
      <c r="COI38" s="704"/>
      <c r="COJ38" s="704"/>
      <c r="COK38" s="704"/>
      <c r="COL38" s="704"/>
      <c r="COM38" s="704"/>
      <c r="CON38" s="704"/>
      <c r="COO38" s="704"/>
      <c r="COP38" s="704"/>
      <c r="COQ38" s="704"/>
      <c r="COR38" s="704"/>
      <c r="COS38" s="704"/>
      <c r="COT38" s="704"/>
      <c r="COU38" s="704"/>
      <c r="COV38" s="704"/>
      <c r="COW38" s="704"/>
      <c r="COX38" s="704"/>
      <c r="COY38" s="704"/>
      <c r="COZ38" s="704"/>
      <c r="CPA38" s="704"/>
      <c r="CPB38" s="704"/>
      <c r="CPC38" s="704"/>
      <c r="CPD38" s="704"/>
      <c r="CPE38" s="704"/>
      <c r="CPF38" s="704"/>
      <c r="CPG38" s="704"/>
      <c r="CPH38" s="704"/>
      <c r="CPI38" s="704"/>
      <c r="CPJ38" s="704"/>
      <c r="CPK38" s="704"/>
      <c r="CPL38" s="704"/>
      <c r="CPM38" s="704"/>
      <c r="CPN38" s="704"/>
      <c r="CPO38" s="704"/>
      <c r="CPP38" s="704"/>
      <c r="CPQ38" s="704"/>
      <c r="CPR38" s="704"/>
      <c r="CPS38" s="704"/>
      <c r="CPT38" s="704"/>
      <c r="CPU38" s="704"/>
      <c r="CPV38" s="704"/>
      <c r="CPW38" s="704"/>
      <c r="CPX38" s="704"/>
      <c r="CPY38" s="704"/>
      <c r="CPZ38" s="704"/>
      <c r="CQA38" s="704"/>
      <c r="CQB38" s="704"/>
      <c r="CQC38" s="704"/>
      <c r="CQD38" s="704"/>
      <c r="CQE38" s="704"/>
      <c r="CQF38" s="704"/>
      <c r="CQG38" s="704"/>
      <c r="CQH38" s="704"/>
      <c r="CQI38" s="704"/>
      <c r="CQJ38" s="704"/>
      <c r="CQK38" s="704"/>
      <c r="CQL38" s="704"/>
      <c r="CQM38" s="704"/>
      <c r="CQN38" s="704"/>
      <c r="CQO38" s="704"/>
      <c r="CQP38" s="704"/>
      <c r="CQQ38" s="704"/>
      <c r="CQR38" s="704"/>
      <c r="CQS38" s="704"/>
      <c r="CQT38" s="704"/>
      <c r="CQU38" s="704"/>
      <c r="CQV38" s="704"/>
      <c r="CQW38" s="704"/>
      <c r="CQX38" s="704"/>
      <c r="CQY38" s="704"/>
      <c r="CQZ38" s="704"/>
      <c r="CRA38" s="704"/>
      <c r="CRB38" s="704"/>
      <c r="CRC38" s="704"/>
      <c r="CRD38" s="704"/>
      <c r="CRE38" s="704"/>
      <c r="CRF38" s="704"/>
      <c r="CRG38" s="704"/>
      <c r="CRH38" s="704"/>
      <c r="CRI38" s="704"/>
      <c r="CRJ38" s="704"/>
      <c r="CRK38" s="704"/>
      <c r="CRL38" s="704"/>
      <c r="CRM38" s="704"/>
      <c r="CRN38" s="704"/>
      <c r="CRO38" s="704"/>
      <c r="CRP38" s="704"/>
      <c r="CRQ38" s="704"/>
      <c r="CRR38" s="704"/>
      <c r="CRS38" s="704"/>
      <c r="CRT38" s="704"/>
      <c r="CRU38" s="704"/>
      <c r="CRV38" s="704"/>
      <c r="CRW38" s="704"/>
      <c r="CRX38" s="704"/>
      <c r="CRY38" s="704"/>
      <c r="CRZ38" s="704"/>
      <c r="CSA38" s="704"/>
      <c r="CSB38" s="704"/>
      <c r="CSC38" s="704"/>
      <c r="CSD38" s="704"/>
      <c r="CSE38" s="704"/>
      <c r="CSF38" s="704"/>
      <c r="CSG38" s="704"/>
      <c r="CSH38" s="704"/>
      <c r="CSI38" s="704"/>
      <c r="CSJ38" s="704"/>
      <c r="CSK38" s="704"/>
      <c r="CSL38" s="704"/>
      <c r="CSM38" s="704"/>
      <c r="CSN38" s="704"/>
      <c r="CSO38" s="704"/>
      <c r="CSP38" s="704"/>
      <c r="CSQ38" s="704"/>
      <c r="CSR38" s="704"/>
      <c r="CSS38" s="704"/>
      <c r="CST38" s="704"/>
      <c r="CSU38" s="704"/>
      <c r="CSV38" s="704"/>
      <c r="CSW38" s="704"/>
      <c r="CSX38" s="704"/>
      <c r="CSY38" s="704"/>
      <c r="CSZ38" s="704"/>
      <c r="CTA38" s="704"/>
      <c r="CTB38" s="704"/>
      <c r="CTC38" s="704"/>
      <c r="CTD38" s="704"/>
      <c r="CTE38" s="704"/>
      <c r="CTF38" s="704"/>
      <c r="CTG38" s="704"/>
      <c r="CTH38" s="704"/>
      <c r="CTI38" s="704"/>
      <c r="CTJ38" s="704"/>
      <c r="CTK38" s="704"/>
      <c r="CTL38" s="704"/>
      <c r="CTM38" s="704"/>
      <c r="CTN38" s="704"/>
      <c r="CTO38" s="704"/>
      <c r="CTP38" s="704"/>
      <c r="CTQ38" s="704"/>
      <c r="CTR38" s="704"/>
      <c r="CTS38" s="704"/>
      <c r="CTT38" s="704"/>
      <c r="CTU38" s="704"/>
      <c r="CTV38" s="704"/>
      <c r="CTW38" s="704"/>
      <c r="CTX38" s="704"/>
      <c r="CTY38" s="704"/>
      <c r="CTZ38" s="704"/>
      <c r="CUA38" s="704"/>
      <c r="CUB38" s="704"/>
      <c r="CUC38" s="704"/>
      <c r="CUD38" s="704"/>
      <c r="CUE38" s="704"/>
      <c r="CUF38" s="704"/>
      <c r="CUG38" s="704"/>
      <c r="CUH38" s="704"/>
      <c r="CUI38" s="704"/>
      <c r="CUJ38" s="704"/>
      <c r="CUK38" s="704"/>
      <c r="CUL38" s="704"/>
      <c r="CUM38" s="704"/>
      <c r="CUN38" s="704"/>
      <c r="CUO38" s="704"/>
      <c r="CUP38" s="704"/>
      <c r="CUQ38" s="704"/>
      <c r="CUR38" s="704"/>
      <c r="CUS38" s="704"/>
      <c r="CUT38" s="704"/>
      <c r="CUU38" s="704"/>
      <c r="CUV38" s="704"/>
      <c r="CUW38" s="704"/>
      <c r="CUX38" s="704"/>
      <c r="CUY38" s="704"/>
      <c r="CUZ38" s="704"/>
      <c r="CVA38" s="704"/>
      <c r="CVB38" s="704"/>
      <c r="CVC38" s="704"/>
      <c r="CVD38" s="704"/>
      <c r="CVE38" s="704"/>
      <c r="CVF38" s="704"/>
      <c r="CVG38" s="704"/>
      <c r="CVH38" s="704"/>
      <c r="CVI38" s="704"/>
      <c r="CVJ38" s="704"/>
      <c r="CVK38" s="704"/>
      <c r="CVL38" s="704"/>
      <c r="CVM38" s="704"/>
      <c r="CVN38" s="704"/>
      <c r="CVO38" s="704"/>
      <c r="CVP38" s="704"/>
      <c r="CVQ38" s="704"/>
      <c r="CVR38" s="704"/>
      <c r="CVS38" s="704"/>
      <c r="CVT38" s="704"/>
      <c r="CVU38" s="704"/>
      <c r="CVV38" s="704"/>
      <c r="CVW38" s="704"/>
      <c r="CVX38" s="704"/>
      <c r="CVY38" s="704"/>
      <c r="CVZ38" s="704"/>
      <c r="CWA38" s="704"/>
      <c r="CWB38" s="704"/>
      <c r="CWC38" s="704"/>
      <c r="CWD38" s="704"/>
      <c r="CWE38" s="704"/>
      <c r="CWF38" s="704"/>
      <c r="CWG38" s="704"/>
      <c r="CWH38" s="704"/>
      <c r="CWI38" s="704"/>
      <c r="CWJ38" s="704"/>
      <c r="CWK38" s="704"/>
      <c r="CWL38" s="704"/>
      <c r="CWM38" s="704"/>
      <c r="CWN38" s="704"/>
      <c r="CWO38" s="704"/>
      <c r="CWP38" s="704"/>
      <c r="CWQ38" s="704"/>
      <c r="CWR38" s="704"/>
      <c r="CWS38" s="704"/>
      <c r="CWT38" s="704"/>
      <c r="CWU38" s="704"/>
      <c r="CWV38" s="704"/>
      <c r="CWW38" s="704"/>
      <c r="CWX38" s="704"/>
      <c r="CWY38" s="704"/>
      <c r="CWZ38" s="704"/>
      <c r="CXA38" s="704"/>
      <c r="CXB38" s="704"/>
      <c r="CXC38" s="704"/>
      <c r="CXD38" s="704"/>
      <c r="CXE38" s="704"/>
      <c r="CXF38" s="704"/>
      <c r="CXG38" s="704"/>
      <c r="CXH38" s="704"/>
      <c r="CXI38" s="704"/>
      <c r="CXJ38" s="704"/>
      <c r="CXK38" s="704"/>
      <c r="CXL38" s="704"/>
      <c r="CXM38" s="704"/>
      <c r="CXN38" s="704"/>
      <c r="CXO38" s="704"/>
      <c r="CXP38" s="704"/>
      <c r="CXQ38" s="704"/>
      <c r="CXR38" s="704"/>
      <c r="CXS38" s="704"/>
      <c r="CXT38" s="704"/>
      <c r="CXU38" s="704"/>
      <c r="CXV38" s="704"/>
      <c r="CXW38" s="704"/>
      <c r="CXX38" s="704"/>
      <c r="CXY38" s="704"/>
      <c r="CXZ38" s="704"/>
      <c r="CYA38" s="704"/>
      <c r="CYB38" s="704"/>
      <c r="CYC38" s="704"/>
      <c r="CYD38" s="704"/>
      <c r="CYE38" s="704"/>
      <c r="CYF38" s="704"/>
      <c r="CYG38" s="704"/>
      <c r="CYH38" s="704"/>
      <c r="CYI38" s="704"/>
      <c r="CYJ38" s="704"/>
      <c r="CYK38" s="704"/>
      <c r="CYL38" s="704"/>
      <c r="CYM38" s="704"/>
      <c r="CYN38" s="704"/>
      <c r="CYO38" s="704"/>
      <c r="CYP38" s="704"/>
      <c r="CYQ38" s="704"/>
      <c r="CYR38" s="704"/>
      <c r="CYS38" s="704"/>
      <c r="CYT38" s="704"/>
      <c r="CYU38" s="704"/>
      <c r="CYV38" s="704"/>
      <c r="CYW38" s="704"/>
      <c r="CYX38" s="704"/>
      <c r="CYY38" s="704"/>
      <c r="CYZ38" s="704"/>
      <c r="CZA38" s="704"/>
      <c r="CZB38" s="704"/>
      <c r="CZC38" s="704"/>
      <c r="CZD38" s="704"/>
      <c r="CZE38" s="704"/>
      <c r="CZF38" s="704"/>
      <c r="CZG38" s="704"/>
      <c r="CZH38" s="704"/>
      <c r="CZI38" s="704"/>
      <c r="CZJ38" s="704"/>
      <c r="CZK38" s="704"/>
      <c r="CZL38" s="704"/>
      <c r="CZM38" s="704"/>
      <c r="CZN38" s="704"/>
      <c r="CZO38" s="704"/>
      <c r="CZP38" s="704"/>
      <c r="CZQ38" s="704"/>
      <c r="CZR38" s="704"/>
      <c r="CZS38" s="704"/>
      <c r="CZT38" s="704"/>
      <c r="CZU38" s="704"/>
      <c r="CZV38" s="704"/>
      <c r="CZW38" s="704"/>
      <c r="CZX38" s="704"/>
      <c r="CZY38" s="704"/>
      <c r="CZZ38" s="704"/>
      <c r="DAA38" s="704"/>
      <c r="DAB38" s="704"/>
      <c r="DAC38" s="704"/>
      <c r="DAD38" s="704"/>
      <c r="DAE38" s="704"/>
      <c r="DAF38" s="704"/>
      <c r="DAG38" s="704"/>
      <c r="DAH38" s="704"/>
      <c r="DAI38" s="704"/>
      <c r="DAJ38" s="704"/>
      <c r="DAK38" s="704"/>
      <c r="DAL38" s="704"/>
      <c r="DAM38" s="704"/>
      <c r="DAN38" s="704"/>
      <c r="DAO38" s="704"/>
      <c r="DAP38" s="704"/>
      <c r="DAQ38" s="704"/>
      <c r="DAR38" s="704"/>
      <c r="DAS38" s="704"/>
      <c r="DAT38" s="704"/>
      <c r="DAU38" s="704"/>
      <c r="DAV38" s="704"/>
      <c r="DAW38" s="704"/>
      <c r="DAX38" s="704"/>
      <c r="DAY38" s="704"/>
      <c r="DAZ38" s="704"/>
      <c r="DBA38" s="704"/>
      <c r="DBB38" s="704"/>
      <c r="DBC38" s="704"/>
      <c r="DBD38" s="704"/>
      <c r="DBE38" s="704"/>
      <c r="DBF38" s="704"/>
      <c r="DBG38" s="704"/>
      <c r="DBH38" s="704"/>
      <c r="DBI38" s="704"/>
      <c r="DBJ38" s="704"/>
      <c r="DBK38" s="704"/>
      <c r="DBL38" s="704"/>
      <c r="DBM38" s="704"/>
      <c r="DBN38" s="704"/>
      <c r="DBO38" s="704"/>
      <c r="DBP38" s="704"/>
      <c r="DBQ38" s="704"/>
      <c r="DBR38" s="704"/>
      <c r="DBS38" s="704"/>
      <c r="DBT38" s="704"/>
      <c r="DBU38" s="704"/>
      <c r="DBV38" s="704"/>
      <c r="DBW38" s="704"/>
      <c r="DBX38" s="704"/>
      <c r="DBY38" s="704"/>
      <c r="DBZ38" s="704"/>
      <c r="DCA38" s="704"/>
      <c r="DCB38" s="704"/>
      <c r="DCC38" s="704"/>
      <c r="DCD38" s="704"/>
      <c r="DCE38" s="704"/>
      <c r="DCF38" s="704"/>
      <c r="DCG38" s="704"/>
      <c r="DCH38" s="704"/>
      <c r="DCI38" s="704"/>
      <c r="DCJ38" s="704"/>
      <c r="DCK38" s="704"/>
      <c r="DCL38" s="704"/>
      <c r="DCM38" s="704"/>
      <c r="DCN38" s="704"/>
      <c r="DCO38" s="704"/>
      <c r="DCP38" s="704"/>
      <c r="DCQ38" s="704"/>
      <c r="DCR38" s="704"/>
      <c r="DCS38" s="704"/>
      <c r="DCT38" s="704"/>
      <c r="DCU38" s="704"/>
      <c r="DCV38" s="704"/>
      <c r="DCW38" s="704"/>
      <c r="DCX38" s="704"/>
      <c r="DCY38" s="704"/>
      <c r="DCZ38" s="704"/>
      <c r="DDA38" s="704"/>
      <c r="DDB38" s="704"/>
      <c r="DDC38" s="704"/>
      <c r="DDD38" s="704"/>
      <c r="DDE38" s="704"/>
      <c r="DDF38" s="704"/>
      <c r="DDG38" s="704"/>
      <c r="DDH38" s="704"/>
      <c r="DDI38" s="704"/>
      <c r="DDJ38" s="704"/>
      <c r="DDK38" s="704"/>
      <c r="DDL38" s="704"/>
      <c r="DDM38" s="704"/>
      <c r="DDN38" s="704"/>
      <c r="DDO38" s="704"/>
      <c r="DDP38" s="704"/>
      <c r="DDQ38" s="704"/>
      <c r="DDR38" s="704"/>
      <c r="DDS38" s="704"/>
      <c r="DDT38" s="704"/>
      <c r="DDU38" s="704"/>
      <c r="DDV38" s="704"/>
      <c r="DDW38" s="704"/>
      <c r="DDX38" s="704"/>
      <c r="DDY38" s="704"/>
      <c r="DDZ38" s="704"/>
      <c r="DEA38" s="704"/>
      <c r="DEB38" s="704"/>
      <c r="DEC38" s="704"/>
      <c r="DED38" s="704"/>
      <c r="DEE38" s="704"/>
      <c r="DEF38" s="704"/>
      <c r="DEG38" s="704"/>
      <c r="DEH38" s="704"/>
      <c r="DEI38" s="704"/>
      <c r="DEJ38" s="704"/>
      <c r="DEK38" s="704"/>
      <c r="DEL38" s="704"/>
      <c r="DEM38" s="704"/>
      <c r="DEN38" s="704"/>
      <c r="DEO38" s="704"/>
      <c r="DEP38" s="704"/>
      <c r="DEQ38" s="704"/>
      <c r="DER38" s="704"/>
      <c r="DES38" s="704"/>
      <c r="DET38" s="704"/>
      <c r="DEU38" s="704"/>
      <c r="DEV38" s="704"/>
      <c r="DEW38" s="704"/>
      <c r="DEX38" s="704"/>
      <c r="DEY38" s="704"/>
      <c r="DEZ38" s="704"/>
      <c r="DFA38" s="704"/>
      <c r="DFB38" s="704"/>
      <c r="DFC38" s="704"/>
      <c r="DFD38" s="704"/>
      <c r="DFE38" s="704"/>
      <c r="DFF38" s="704"/>
      <c r="DFG38" s="704"/>
      <c r="DFH38" s="704"/>
      <c r="DFI38" s="704"/>
      <c r="DFJ38" s="704"/>
      <c r="DFK38" s="704"/>
      <c r="DFL38" s="704"/>
      <c r="DFM38" s="704"/>
      <c r="DFN38" s="704"/>
      <c r="DFO38" s="704"/>
      <c r="DFP38" s="704"/>
      <c r="DFQ38" s="704"/>
      <c r="DFR38" s="704"/>
      <c r="DFS38" s="704"/>
      <c r="DFT38" s="704"/>
      <c r="DFU38" s="704"/>
      <c r="DFV38" s="704"/>
      <c r="DFW38" s="704"/>
      <c r="DFX38" s="704"/>
      <c r="DFY38" s="704"/>
      <c r="DFZ38" s="704"/>
      <c r="DGA38" s="704"/>
      <c r="DGB38" s="704"/>
      <c r="DGC38" s="704"/>
      <c r="DGD38" s="704"/>
      <c r="DGE38" s="704"/>
      <c r="DGF38" s="704"/>
      <c r="DGG38" s="704"/>
      <c r="DGH38" s="704"/>
      <c r="DGI38" s="704"/>
      <c r="DGJ38" s="704"/>
      <c r="DGK38" s="704"/>
      <c r="DGL38" s="704"/>
      <c r="DGM38" s="704"/>
      <c r="DGN38" s="704"/>
      <c r="DGO38" s="704"/>
      <c r="DGP38" s="704"/>
      <c r="DGQ38" s="704"/>
      <c r="DGR38" s="704"/>
      <c r="DGS38" s="704"/>
      <c r="DGT38" s="704"/>
      <c r="DGU38" s="704"/>
      <c r="DGV38" s="704"/>
      <c r="DGW38" s="704"/>
      <c r="DGX38" s="704"/>
      <c r="DGY38" s="704"/>
      <c r="DGZ38" s="704"/>
      <c r="DHA38" s="704"/>
      <c r="DHB38" s="704"/>
      <c r="DHC38" s="704"/>
      <c r="DHD38" s="704"/>
      <c r="DHE38" s="704"/>
      <c r="DHF38" s="704"/>
      <c r="DHG38" s="704"/>
      <c r="DHH38" s="704"/>
      <c r="DHI38" s="704"/>
      <c r="DHJ38" s="704"/>
      <c r="DHK38" s="704"/>
      <c r="DHL38" s="704"/>
      <c r="DHM38" s="704"/>
      <c r="DHN38" s="704"/>
      <c r="DHO38" s="704"/>
      <c r="DHP38" s="704"/>
      <c r="DHQ38" s="704"/>
      <c r="DHR38" s="704"/>
      <c r="DHS38" s="704"/>
      <c r="DHT38" s="704"/>
      <c r="DHU38" s="704"/>
      <c r="DHV38" s="704"/>
      <c r="DHW38" s="704"/>
      <c r="DHX38" s="704"/>
      <c r="DHY38" s="704"/>
      <c r="DHZ38" s="704"/>
      <c r="DIA38" s="704"/>
      <c r="DIB38" s="704"/>
      <c r="DIC38" s="704"/>
      <c r="DID38" s="704"/>
      <c r="DIE38" s="704"/>
      <c r="DIF38" s="704"/>
      <c r="DIG38" s="704"/>
      <c r="DIH38" s="704"/>
      <c r="DII38" s="704"/>
      <c r="DIJ38" s="704"/>
      <c r="DIK38" s="704"/>
      <c r="DIL38" s="704"/>
      <c r="DIM38" s="704"/>
      <c r="DIN38" s="704"/>
      <c r="DIO38" s="704"/>
      <c r="DIP38" s="704"/>
      <c r="DIQ38" s="704"/>
      <c r="DIR38" s="704"/>
      <c r="DIS38" s="704"/>
      <c r="DIT38" s="704"/>
      <c r="DIU38" s="704"/>
      <c r="DIV38" s="704"/>
      <c r="DIW38" s="704"/>
      <c r="DIX38" s="704"/>
      <c r="DIY38" s="704"/>
      <c r="DIZ38" s="704"/>
      <c r="DJA38" s="704"/>
      <c r="DJB38" s="704"/>
      <c r="DJC38" s="704"/>
      <c r="DJD38" s="704"/>
      <c r="DJE38" s="704"/>
      <c r="DJF38" s="704"/>
      <c r="DJG38" s="704"/>
      <c r="DJH38" s="704"/>
      <c r="DJI38" s="704"/>
      <c r="DJJ38" s="704"/>
      <c r="DJK38" s="704"/>
      <c r="DJL38" s="704"/>
      <c r="DJM38" s="704"/>
      <c r="DJN38" s="704"/>
      <c r="DJO38" s="704"/>
      <c r="DJP38" s="704"/>
      <c r="DJQ38" s="704"/>
      <c r="DJR38" s="704"/>
      <c r="DJS38" s="704"/>
      <c r="DJT38" s="704"/>
      <c r="DJU38" s="704"/>
      <c r="DJV38" s="704"/>
      <c r="DJW38" s="704"/>
      <c r="DJX38" s="704"/>
      <c r="DJY38" s="704"/>
      <c r="DJZ38" s="704"/>
      <c r="DKA38" s="704"/>
      <c r="DKB38" s="704"/>
      <c r="DKC38" s="704"/>
      <c r="DKD38" s="704"/>
      <c r="DKE38" s="704"/>
      <c r="DKF38" s="704"/>
      <c r="DKG38" s="704"/>
      <c r="DKH38" s="704"/>
      <c r="DKI38" s="704"/>
      <c r="DKJ38" s="704"/>
      <c r="DKK38" s="704"/>
      <c r="DKL38" s="704"/>
      <c r="DKM38" s="704"/>
      <c r="DKN38" s="704"/>
      <c r="DKO38" s="704"/>
      <c r="DKP38" s="704"/>
      <c r="DKQ38" s="704"/>
      <c r="DKR38" s="704"/>
      <c r="DKS38" s="704"/>
      <c r="DKT38" s="704"/>
      <c r="DKU38" s="704"/>
      <c r="DKV38" s="704"/>
      <c r="DKW38" s="704"/>
      <c r="DKX38" s="704"/>
      <c r="DKY38" s="704"/>
      <c r="DKZ38" s="704"/>
      <c r="DLA38" s="704"/>
      <c r="DLB38" s="704"/>
      <c r="DLC38" s="704"/>
      <c r="DLD38" s="704"/>
      <c r="DLE38" s="704"/>
      <c r="DLF38" s="704"/>
      <c r="DLG38" s="704"/>
      <c r="DLH38" s="704"/>
      <c r="DLI38" s="704"/>
      <c r="DLJ38" s="704"/>
      <c r="DLK38" s="704"/>
      <c r="DLL38" s="704"/>
      <c r="DLM38" s="704"/>
      <c r="DLN38" s="704"/>
      <c r="DLO38" s="704"/>
      <c r="DLP38" s="704"/>
      <c r="DLQ38" s="704"/>
      <c r="DLR38" s="704"/>
      <c r="DLS38" s="704"/>
      <c r="DLT38" s="704"/>
      <c r="DLU38" s="704"/>
      <c r="DLV38" s="704"/>
      <c r="DLW38" s="704"/>
      <c r="DLX38" s="704"/>
      <c r="DLY38" s="704"/>
      <c r="DLZ38" s="704"/>
      <c r="DMA38" s="704"/>
      <c r="DMB38" s="704"/>
      <c r="DMC38" s="704"/>
      <c r="DMD38" s="704"/>
      <c r="DME38" s="704"/>
      <c r="DMF38" s="704"/>
      <c r="DMG38" s="704"/>
      <c r="DMH38" s="704"/>
      <c r="DMI38" s="704"/>
      <c r="DMJ38" s="704"/>
      <c r="DMK38" s="704"/>
      <c r="DML38" s="704"/>
      <c r="DMM38" s="704"/>
      <c r="DMN38" s="704"/>
      <c r="DMO38" s="704"/>
      <c r="DMP38" s="704"/>
      <c r="DMQ38" s="704"/>
      <c r="DMR38" s="704"/>
      <c r="DMS38" s="704"/>
      <c r="DMT38" s="704"/>
      <c r="DMU38" s="704"/>
      <c r="DMV38" s="704"/>
      <c r="DMW38" s="704"/>
      <c r="DMX38" s="704"/>
      <c r="DMY38" s="704"/>
      <c r="DMZ38" s="704"/>
      <c r="DNA38" s="704"/>
      <c r="DNB38" s="704"/>
      <c r="DNC38" s="704"/>
      <c r="DND38" s="704"/>
      <c r="DNE38" s="704"/>
      <c r="DNF38" s="704"/>
      <c r="DNG38" s="704"/>
      <c r="DNH38" s="704"/>
      <c r="DNI38" s="704"/>
      <c r="DNJ38" s="704"/>
      <c r="DNK38" s="704"/>
      <c r="DNL38" s="704"/>
      <c r="DNM38" s="704"/>
      <c r="DNN38" s="704"/>
      <c r="DNO38" s="704"/>
      <c r="DNP38" s="704"/>
      <c r="DNQ38" s="704"/>
      <c r="DNR38" s="704"/>
      <c r="DNS38" s="704"/>
      <c r="DNT38" s="704"/>
      <c r="DNU38" s="704"/>
      <c r="DNV38" s="704"/>
      <c r="DNW38" s="704"/>
      <c r="DNX38" s="704"/>
      <c r="DNY38" s="704"/>
      <c r="DNZ38" s="704"/>
      <c r="DOA38" s="704"/>
      <c r="DOB38" s="704"/>
      <c r="DOC38" s="704"/>
      <c r="DOD38" s="704"/>
      <c r="DOE38" s="704"/>
      <c r="DOF38" s="704"/>
      <c r="DOG38" s="704"/>
      <c r="DOH38" s="704"/>
      <c r="DOI38" s="704"/>
      <c r="DOJ38" s="704"/>
      <c r="DOK38" s="704"/>
      <c r="DOL38" s="704"/>
      <c r="DOM38" s="704"/>
      <c r="DON38" s="704"/>
      <c r="DOO38" s="704"/>
      <c r="DOP38" s="704"/>
      <c r="DOQ38" s="704"/>
      <c r="DOR38" s="704"/>
      <c r="DOS38" s="704"/>
      <c r="DOT38" s="704"/>
      <c r="DOU38" s="704"/>
      <c r="DOV38" s="704"/>
      <c r="DOW38" s="704"/>
      <c r="DOX38" s="704"/>
      <c r="DOY38" s="704"/>
      <c r="DOZ38" s="704"/>
      <c r="DPA38" s="704"/>
      <c r="DPB38" s="704"/>
      <c r="DPC38" s="704"/>
      <c r="DPD38" s="704"/>
      <c r="DPE38" s="704"/>
      <c r="DPF38" s="704"/>
      <c r="DPG38" s="704"/>
      <c r="DPH38" s="704"/>
      <c r="DPI38" s="704"/>
      <c r="DPJ38" s="704"/>
      <c r="DPK38" s="704"/>
      <c r="DPL38" s="704"/>
      <c r="DPM38" s="704"/>
      <c r="DPN38" s="704"/>
      <c r="DPO38" s="704"/>
      <c r="DPP38" s="704"/>
      <c r="DPQ38" s="704"/>
      <c r="DPR38" s="704"/>
      <c r="DPS38" s="704"/>
      <c r="DPT38" s="704"/>
      <c r="DPU38" s="704"/>
      <c r="DPV38" s="704"/>
      <c r="DPW38" s="704"/>
      <c r="DPX38" s="704"/>
      <c r="DPY38" s="704"/>
      <c r="DPZ38" s="704"/>
      <c r="DQA38" s="704"/>
      <c r="DQB38" s="704"/>
      <c r="DQC38" s="704"/>
      <c r="DQD38" s="704"/>
      <c r="DQE38" s="704"/>
      <c r="DQF38" s="704"/>
      <c r="DQG38" s="704"/>
      <c r="DQH38" s="704"/>
      <c r="DQI38" s="704"/>
      <c r="DQJ38" s="704"/>
      <c r="DQK38" s="704"/>
      <c r="DQL38" s="704"/>
      <c r="DQM38" s="704"/>
      <c r="DQN38" s="704"/>
      <c r="DQO38" s="704"/>
      <c r="DQP38" s="704"/>
      <c r="DQQ38" s="704"/>
      <c r="DQR38" s="704"/>
      <c r="DQS38" s="704"/>
      <c r="DQT38" s="704"/>
      <c r="DQU38" s="704"/>
      <c r="DQV38" s="704"/>
      <c r="DQW38" s="704"/>
      <c r="DQX38" s="704"/>
      <c r="DQY38" s="704"/>
      <c r="DQZ38" s="704"/>
      <c r="DRA38" s="704"/>
      <c r="DRB38" s="704"/>
      <c r="DRC38" s="704"/>
      <c r="DRD38" s="704"/>
      <c r="DRE38" s="704"/>
      <c r="DRF38" s="704"/>
      <c r="DRG38" s="704"/>
      <c r="DRH38" s="704"/>
      <c r="DRI38" s="704"/>
      <c r="DRJ38" s="704"/>
      <c r="DRK38" s="704"/>
      <c r="DRL38" s="704"/>
      <c r="DRM38" s="704"/>
      <c r="DRN38" s="704"/>
      <c r="DRO38" s="704"/>
      <c r="DRP38" s="704"/>
      <c r="DRQ38" s="704"/>
      <c r="DRR38" s="704"/>
      <c r="DRS38" s="704"/>
      <c r="DRT38" s="704"/>
      <c r="DRU38" s="704"/>
      <c r="DRV38" s="704"/>
      <c r="DRW38" s="704"/>
      <c r="DRX38" s="704"/>
      <c r="DRY38" s="704"/>
      <c r="DRZ38" s="704"/>
      <c r="DSA38" s="704"/>
      <c r="DSB38" s="704"/>
      <c r="DSC38" s="704"/>
      <c r="DSD38" s="704"/>
      <c r="DSE38" s="704"/>
      <c r="DSF38" s="704"/>
      <c r="DSG38" s="704"/>
      <c r="DSH38" s="704"/>
      <c r="DSI38" s="704"/>
      <c r="DSJ38" s="704"/>
      <c r="DSK38" s="704"/>
      <c r="DSL38" s="704"/>
      <c r="DSM38" s="704"/>
      <c r="DSN38" s="704"/>
      <c r="DSO38" s="704"/>
      <c r="DSP38" s="704"/>
      <c r="DSQ38" s="704"/>
      <c r="DSR38" s="704"/>
      <c r="DSS38" s="704"/>
      <c r="DST38" s="704"/>
      <c r="DSU38" s="704"/>
      <c r="DSV38" s="704"/>
      <c r="DSW38" s="704"/>
      <c r="DSX38" s="704"/>
      <c r="DSY38" s="704"/>
      <c r="DSZ38" s="704"/>
      <c r="DTA38" s="704"/>
      <c r="DTB38" s="704"/>
      <c r="DTC38" s="704"/>
      <c r="DTD38" s="704"/>
      <c r="DTE38" s="704"/>
      <c r="DTF38" s="704"/>
      <c r="DTG38" s="704"/>
      <c r="DTH38" s="704"/>
      <c r="DTI38" s="704"/>
      <c r="DTJ38" s="704"/>
      <c r="DTK38" s="704"/>
      <c r="DTL38" s="704"/>
      <c r="DTM38" s="704"/>
      <c r="DTN38" s="704"/>
      <c r="DTO38" s="704"/>
      <c r="DTP38" s="704"/>
      <c r="DTQ38" s="704"/>
      <c r="DTR38" s="704"/>
      <c r="DTS38" s="704"/>
      <c r="DTT38" s="704"/>
      <c r="DTU38" s="704"/>
      <c r="DTV38" s="704"/>
      <c r="DTW38" s="704"/>
      <c r="DTX38" s="704"/>
      <c r="DTY38" s="704"/>
      <c r="DTZ38" s="704"/>
      <c r="DUA38" s="704"/>
      <c r="DUB38" s="704"/>
      <c r="DUC38" s="704"/>
      <c r="DUD38" s="704"/>
      <c r="DUE38" s="704"/>
      <c r="DUF38" s="704"/>
      <c r="DUG38" s="704"/>
      <c r="DUH38" s="704"/>
      <c r="DUI38" s="704"/>
      <c r="DUJ38" s="704"/>
      <c r="DUK38" s="704"/>
      <c r="DUL38" s="704"/>
      <c r="DUM38" s="704"/>
      <c r="DUN38" s="704"/>
      <c r="DUO38" s="704"/>
      <c r="DUP38" s="704"/>
      <c r="DUQ38" s="704"/>
      <c r="DUR38" s="704"/>
      <c r="DUS38" s="704"/>
      <c r="DUT38" s="704"/>
      <c r="DUU38" s="704"/>
      <c r="DUV38" s="704"/>
      <c r="DUW38" s="704"/>
      <c r="DUX38" s="704"/>
      <c r="DUY38" s="704"/>
      <c r="DUZ38" s="704"/>
      <c r="DVA38" s="704"/>
      <c r="DVB38" s="704"/>
      <c r="DVC38" s="704"/>
      <c r="DVD38" s="704"/>
      <c r="DVE38" s="704"/>
      <c r="DVF38" s="704"/>
      <c r="DVG38" s="704"/>
      <c r="DVH38" s="704"/>
      <c r="DVI38" s="704"/>
      <c r="DVJ38" s="704"/>
      <c r="DVK38" s="704"/>
      <c r="DVL38" s="704"/>
      <c r="DVM38" s="704"/>
      <c r="DVN38" s="704"/>
      <c r="DVO38" s="704"/>
      <c r="DVP38" s="704"/>
      <c r="DVQ38" s="704"/>
      <c r="DVR38" s="704"/>
      <c r="DVS38" s="704"/>
      <c r="DVT38" s="704"/>
      <c r="DVU38" s="704"/>
      <c r="DVV38" s="704"/>
      <c r="DVW38" s="704"/>
      <c r="DVX38" s="704"/>
      <c r="DVY38" s="704"/>
      <c r="DVZ38" s="704"/>
      <c r="DWA38" s="704"/>
      <c r="DWB38" s="704"/>
      <c r="DWC38" s="704"/>
      <c r="DWD38" s="704"/>
      <c r="DWE38" s="704"/>
      <c r="DWF38" s="704"/>
      <c r="DWG38" s="704"/>
      <c r="DWH38" s="704"/>
      <c r="DWI38" s="704"/>
      <c r="DWJ38" s="704"/>
      <c r="DWK38" s="704"/>
      <c r="DWL38" s="704"/>
      <c r="DWM38" s="704"/>
      <c r="DWN38" s="704"/>
      <c r="DWO38" s="704"/>
      <c r="DWP38" s="704"/>
      <c r="DWQ38" s="704"/>
      <c r="DWR38" s="704"/>
      <c r="DWS38" s="704"/>
      <c r="DWT38" s="704"/>
      <c r="DWU38" s="704"/>
      <c r="DWV38" s="704"/>
      <c r="DWW38" s="704"/>
      <c r="DWX38" s="704"/>
      <c r="DWY38" s="704"/>
      <c r="DWZ38" s="704"/>
      <c r="DXA38" s="704"/>
      <c r="DXB38" s="704"/>
      <c r="DXC38" s="704"/>
      <c r="DXD38" s="704"/>
      <c r="DXE38" s="704"/>
      <c r="DXF38" s="704"/>
      <c r="DXG38" s="704"/>
      <c r="DXH38" s="704"/>
      <c r="DXI38" s="704"/>
      <c r="DXJ38" s="704"/>
      <c r="DXK38" s="704"/>
      <c r="DXL38" s="704"/>
      <c r="DXM38" s="704"/>
      <c r="DXN38" s="704"/>
      <c r="DXO38" s="704"/>
      <c r="DXP38" s="704"/>
      <c r="DXQ38" s="704"/>
      <c r="DXR38" s="704"/>
      <c r="DXS38" s="704"/>
      <c r="DXT38" s="704"/>
      <c r="DXU38" s="704"/>
      <c r="DXV38" s="704"/>
      <c r="DXW38" s="704"/>
      <c r="DXX38" s="704"/>
      <c r="DXY38" s="704"/>
      <c r="DXZ38" s="704"/>
      <c r="DYA38" s="704"/>
      <c r="DYB38" s="704"/>
      <c r="DYC38" s="704"/>
      <c r="DYD38" s="704"/>
      <c r="DYE38" s="704"/>
      <c r="DYF38" s="704"/>
      <c r="DYG38" s="704"/>
      <c r="DYH38" s="704"/>
      <c r="DYI38" s="704"/>
      <c r="DYJ38" s="704"/>
      <c r="DYK38" s="704"/>
      <c r="DYL38" s="704"/>
      <c r="DYM38" s="704"/>
      <c r="DYN38" s="704"/>
      <c r="DYO38" s="704"/>
      <c r="DYP38" s="704"/>
      <c r="DYQ38" s="704"/>
      <c r="DYR38" s="704"/>
      <c r="DYS38" s="704"/>
      <c r="DYT38" s="704"/>
      <c r="DYU38" s="704"/>
      <c r="DYV38" s="704"/>
      <c r="DYW38" s="704"/>
      <c r="DYX38" s="704"/>
      <c r="DYY38" s="704"/>
      <c r="DYZ38" s="704"/>
      <c r="DZA38" s="704"/>
      <c r="DZB38" s="704"/>
      <c r="DZC38" s="704"/>
      <c r="DZD38" s="704"/>
      <c r="DZE38" s="704"/>
      <c r="DZF38" s="704"/>
      <c r="DZG38" s="704"/>
      <c r="DZH38" s="704"/>
      <c r="DZI38" s="704"/>
      <c r="DZJ38" s="704"/>
      <c r="DZK38" s="704"/>
      <c r="DZL38" s="704"/>
      <c r="DZM38" s="704"/>
      <c r="DZN38" s="704"/>
      <c r="DZO38" s="704"/>
      <c r="DZP38" s="704"/>
      <c r="DZQ38" s="704"/>
      <c r="DZR38" s="704"/>
      <c r="DZS38" s="704"/>
      <c r="DZT38" s="704"/>
      <c r="DZU38" s="704"/>
      <c r="DZV38" s="704"/>
      <c r="DZW38" s="704"/>
      <c r="DZX38" s="704"/>
      <c r="DZY38" s="704"/>
      <c r="DZZ38" s="704"/>
      <c r="EAA38" s="704"/>
      <c r="EAB38" s="704"/>
      <c r="EAC38" s="704"/>
      <c r="EAD38" s="704"/>
      <c r="EAE38" s="704"/>
      <c r="EAF38" s="704"/>
      <c r="EAG38" s="704"/>
      <c r="EAH38" s="704"/>
      <c r="EAI38" s="704"/>
      <c r="EAJ38" s="704"/>
      <c r="EAK38" s="704"/>
      <c r="EAL38" s="704"/>
      <c r="EAM38" s="704"/>
      <c r="EAN38" s="704"/>
      <c r="EAO38" s="704"/>
      <c r="EAP38" s="704"/>
      <c r="EAQ38" s="704"/>
      <c r="EAR38" s="704"/>
      <c r="EAS38" s="704"/>
      <c r="EAT38" s="704"/>
      <c r="EAU38" s="704"/>
      <c r="EAV38" s="704"/>
      <c r="EAW38" s="704"/>
      <c r="EAX38" s="704"/>
      <c r="EAY38" s="704"/>
      <c r="EAZ38" s="704"/>
      <c r="EBA38" s="704"/>
      <c r="EBB38" s="704"/>
      <c r="EBC38" s="704"/>
      <c r="EBD38" s="704"/>
      <c r="EBE38" s="704"/>
      <c r="EBF38" s="704"/>
      <c r="EBG38" s="704"/>
      <c r="EBH38" s="704"/>
      <c r="EBI38" s="704"/>
      <c r="EBJ38" s="704"/>
      <c r="EBK38" s="704"/>
      <c r="EBL38" s="704"/>
      <c r="EBM38" s="704"/>
      <c r="EBN38" s="704"/>
      <c r="EBO38" s="704"/>
      <c r="EBP38" s="704"/>
      <c r="EBQ38" s="704"/>
      <c r="EBR38" s="704"/>
      <c r="EBS38" s="704"/>
      <c r="EBT38" s="704"/>
      <c r="EBU38" s="704"/>
      <c r="EBV38" s="704"/>
      <c r="EBW38" s="704"/>
      <c r="EBX38" s="704"/>
      <c r="EBY38" s="704"/>
      <c r="EBZ38" s="704"/>
      <c r="ECA38" s="704"/>
      <c r="ECB38" s="704"/>
      <c r="ECC38" s="704"/>
      <c r="ECD38" s="704"/>
      <c r="ECE38" s="704"/>
      <c r="ECF38" s="704"/>
      <c r="ECG38" s="704"/>
      <c r="ECH38" s="704"/>
      <c r="ECI38" s="704"/>
      <c r="ECJ38" s="704"/>
      <c r="ECK38" s="704"/>
      <c r="ECL38" s="704"/>
      <c r="ECM38" s="704"/>
      <c r="ECN38" s="704"/>
      <c r="ECO38" s="704"/>
      <c r="ECP38" s="704"/>
      <c r="ECQ38" s="704"/>
      <c r="ECR38" s="704"/>
      <c r="ECS38" s="704"/>
      <c r="ECT38" s="704"/>
      <c r="ECU38" s="704"/>
      <c r="ECV38" s="704"/>
      <c r="ECW38" s="704"/>
      <c r="ECX38" s="704"/>
      <c r="ECY38" s="704"/>
      <c r="ECZ38" s="704"/>
      <c r="EDA38" s="704"/>
      <c r="EDB38" s="704"/>
      <c r="EDC38" s="704"/>
      <c r="EDD38" s="704"/>
      <c r="EDE38" s="704"/>
      <c r="EDF38" s="704"/>
      <c r="EDG38" s="704"/>
      <c r="EDH38" s="704"/>
      <c r="EDI38" s="704"/>
      <c r="EDJ38" s="704"/>
      <c r="EDK38" s="704"/>
      <c r="EDL38" s="704"/>
      <c r="EDM38" s="704"/>
      <c r="EDN38" s="704"/>
      <c r="EDO38" s="704"/>
      <c r="EDP38" s="704"/>
      <c r="EDQ38" s="704"/>
      <c r="EDR38" s="704"/>
      <c r="EDS38" s="704"/>
      <c r="EDT38" s="704"/>
      <c r="EDU38" s="704"/>
      <c r="EDV38" s="704"/>
      <c r="EDW38" s="704"/>
      <c r="EDX38" s="704"/>
      <c r="EDY38" s="704"/>
      <c r="EDZ38" s="704"/>
      <c r="EEA38" s="704"/>
      <c r="EEB38" s="704"/>
      <c r="EEC38" s="704"/>
      <c r="EED38" s="704"/>
      <c r="EEE38" s="704"/>
      <c r="EEF38" s="704"/>
      <c r="EEG38" s="704"/>
      <c r="EEH38" s="704"/>
      <c r="EEI38" s="704"/>
      <c r="EEJ38" s="704"/>
      <c r="EEK38" s="704"/>
      <c r="EEL38" s="704"/>
      <c r="EEM38" s="704"/>
      <c r="EEN38" s="704"/>
      <c r="EEO38" s="704"/>
      <c r="EEP38" s="704"/>
      <c r="EEQ38" s="704"/>
      <c r="EER38" s="704"/>
      <c r="EES38" s="704"/>
      <c r="EET38" s="704"/>
      <c r="EEU38" s="704"/>
      <c r="EEV38" s="704"/>
      <c r="EEW38" s="704"/>
      <c r="EEX38" s="704"/>
      <c r="EEY38" s="704"/>
      <c r="EEZ38" s="704"/>
      <c r="EFA38" s="704"/>
      <c r="EFB38" s="704"/>
      <c r="EFC38" s="704"/>
      <c r="EFD38" s="704"/>
      <c r="EFE38" s="704"/>
      <c r="EFF38" s="704"/>
      <c r="EFG38" s="704"/>
      <c r="EFH38" s="704"/>
      <c r="EFI38" s="704"/>
      <c r="EFJ38" s="704"/>
      <c r="EFK38" s="704"/>
      <c r="EFL38" s="704"/>
      <c r="EFM38" s="704"/>
      <c r="EFN38" s="704"/>
      <c r="EFO38" s="704"/>
      <c r="EFP38" s="704"/>
      <c r="EFQ38" s="704"/>
      <c r="EFR38" s="704"/>
      <c r="EFS38" s="704"/>
      <c r="EFT38" s="704"/>
      <c r="EFU38" s="704"/>
      <c r="EFV38" s="704"/>
      <c r="EFW38" s="704"/>
      <c r="EFX38" s="704"/>
      <c r="EFY38" s="704"/>
      <c r="EFZ38" s="704"/>
      <c r="EGA38" s="704"/>
      <c r="EGB38" s="704"/>
      <c r="EGC38" s="704"/>
      <c r="EGD38" s="704"/>
      <c r="EGE38" s="704"/>
      <c r="EGF38" s="704"/>
      <c r="EGG38" s="704"/>
      <c r="EGH38" s="704"/>
      <c r="EGI38" s="704"/>
      <c r="EGJ38" s="704"/>
      <c r="EGK38" s="704"/>
      <c r="EGL38" s="704"/>
      <c r="EGM38" s="704"/>
      <c r="EGN38" s="704"/>
      <c r="EGO38" s="704"/>
      <c r="EGP38" s="704"/>
      <c r="EGQ38" s="704"/>
      <c r="EGR38" s="704"/>
      <c r="EGS38" s="704"/>
      <c r="EGT38" s="704"/>
      <c r="EGU38" s="704"/>
      <c r="EGV38" s="704"/>
      <c r="EGW38" s="704"/>
      <c r="EGX38" s="704"/>
      <c r="EGY38" s="704"/>
      <c r="EGZ38" s="704"/>
      <c r="EHA38" s="704"/>
      <c r="EHB38" s="704"/>
      <c r="EHC38" s="704"/>
      <c r="EHD38" s="704"/>
      <c r="EHE38" s="704"/>
      <c r="EHF38" s="704"/>
      <c r="EHG38" s="704"/>
      <c r="EHH38" s="704"/>
      <c r="EHI38" s="704"/>
      <c r="EHJ38" s="704"/>
      <c r="EHK38" s="704"/>
      <c r="EHL38" s="704"/>
      <c r="EHM38" s="704"/>
      <c r="EHN38" s="704"/>
      <c r="EHO38" s="704"/>
      <c r="EHP38" s="704"/>
      <c r="EHQ38" s="704"/>
      <c r="EHR38" s="704"/>
      <c r="EHS38" s="704"/>
      <c r="EHT38" s="704"/>
      <c r="EHU38" s="704"/>
      <c r="EHV38" s="704"/>
      <c r="EHW38" s="704"/>
      <c r="EHX38" s="704"/>
      <c r="EHY38" s="704"/>
      <c r="EHZ38" s="704"/>
      <c r="EIA38" s="704"/>
      <c r="EIB38" s="704"/>
      <c r="EIC38" s="704"/>
      <c r="EID38" s="704"/>
      <c r="EIE38" s="704"/>
      <c r="EIF38" s="704"/>
      <c r="EIG38" s="704"/>
      <c r="EIH38" s="704"/>
      <c r="EII38" s="704"/>
      <c r="EIJ38" s="704"/>
      <c r="EIK38" s="704"/>
      <c r="EIL38" s="704"/>
      <c r="EIM38" s="704"/>
      <c r="EIN38" s="704"/>
      <c r="EIO38" s="704"/>
      <c r="EIP38" s="704"/>
      <c r="EIQ38" s="704"/>
      <c r="EIR38" s="704"/>
      <c r="EIS38" s="704"/>
      <c r="EIT38" s="704"/>
      <c r="EIU38" s="704"/>
      <c r="EIV38" s="704"/>
      <c r="EIW38" s="704"/>
      <c r="EIX38" s="704"/>
      <c r="EIY38" s="704"/>
      <c r="EIZ38" s="704"/>
      <c r="EJA38" s="704"/>
      <c r="EJB38" s="704"/>
      <c r="EJC38" s="704"/>
      <c r="EJD38" s="704"/>
      <c r="EJE38" s="704"/>
      <c r="EJF38" s="704"/>
      <c r="EJG38" s="704"/>
      <c r="EJH38" s="704"/>
      <c r="EJI38" s="704"/>
      <c r="EJJ38" s="704"/>
      <c r="EJK38" s="704"/>
      <c r="EJL38" s="704"/>
      <c r="EJM38" s="704"/>
      <c r="EJN38" s="704"/>
      <c r="EJO38" s="704"/>
      <c r="EJP38" s="704"/>
      <c r="EJQ38" s="704"/>
      <c r="EJR38" s="704"/>
      <c r="EJS38" s="704"/>
      <c r="EJT38" s="704"/>
      <c r="EJU38" s="704"/>
      <c r="EJV38" s="704"/>
      <c r="EJW38" s="704"/>
      <c r="EJX38" s="704"/>
      <c r="EJY38" s="704"/>
      <c r="EJZ38" s="704"/>
      <c r="EKA38" s="704"/>
      <c r="EKB38" s="704"/>
      <c r="EKC38" s="704"/>
      <c r="EKD38" s="704"/>
      <c r="EKE38" s="704"/>
      <c r="EKF38" s="704"/>
      <c r="EKG38" s="704"/>
      <c r="EKH38" s="704"/>
      <c r="EKI38" s="704"/>
      <c r="EKJ38" s="704"/>
      <c r="EKK38" s="704"/>
      <c r="EKL38" s="704"/>
      <c r="EKM38" s="704"/>
      <c r="EKN38" s="704"/>
      <c r="EKO38" s="704"/>
      <c r="EKP38" s="704"/>
      <c r="EKQ38" s="704"/>
      <c r="EKR38" s="704"/>
      <c r="EKS38" s="704"/>
      <c r="EKT38" s="704"/>
      <c r="EKU38" s="704"/>
      <c r="EKV38" s="704"/>
      <c r="EKW38" s="704"/>
      <c r="EKX38" s="704"/>
      <c r="EKY38" s="704"/>
      <c r="EKZ38" s="704"/>
      <c r="ELA38" s="704"/>
      <c r="ELB38" s="704"/>
      <c r="ELC38" s="704"/>
      <c r="ELD38" s="704"/>
      <c r="ELE38" s="704"/>
      <c r="ELF38" s="704"/>
      <c r="ELG38" s="704"/>
      <c r="ELH38" s="704"/>
      <c r="ELI38" s="704"/>
      <c r="ELJ38" s="704"/>
      <c r="ELK38" s="704"/>
      <c r="ELL38" s="704"/>
      <c r="ELM38" s="704"/>
      <c r="ELN38" s="704"/>
      <c r="ELO38" s="704"/>
      <c r="ELP38" s="704"/>
      <c r="ELQ38" s="704"/>
      <c r="ELR38" s="704"/>
      <c r="ELS38" s="704"/>
      <c r="ELT38" s="704"/>
      <c r="ELU38" s="704"/>
      <c r="ELV38" s="704"/>
      <c r="ELW38" s="704"/>
      <c r="ELX38" s="704"/>
      <c r="ELY38" s="704"/>
      <c r="ELZ38" s="704"/>
      <c r="EMA38" s="704"/>
      <c r="EMB38" s="704"/>
      <c r="EMC38" s="704"/>
      <c r="EMD38" s="704"/>
      <c r="EME38" s="704"/>
      <c r="EMF38" s="704"/>
      <c r="EMG38" s="704"/>
      <c r="EMH38" s="704"/>
      <c r="EMI38" s="704"/>
      <c r="EMJ38" s="704"/>
      <c r="EMK38" s="704"/>
      <c r="EML38" s="704"/>
      <c r="EMM38" s="704"/>
      <c r="EMN38" s="704"/>
      <c r="EMO38" s="704"/>
      <c r="EMP38" s="704"/>
      <c r="EMQ38" s="704"/>
      <c r="EMR38" s="704"/>
      <c r="EMS38" s="704"/>
      <c r="EMT38" s="704"/>
      <c r="EMU38" s="704"/>
      <c r="EMV38" s="704"/>
      <c r="EMW38" s="704"/>
      <c r="EMX38" s="704"/>
      <c r="EMY38" s="704"/>
      <c r="EMZ38" s="704"/>
      <c r="ENA38" s="704"/>
      <c r="ENB38" s="704"/>
      <c r="ENC38" s="704"/>
      <c r="END38" s="704"/>
      <c r="ENE38" s="704"/>
      <c r="ENF38" s="704"/>
      <c r="ENG38" s="704"/>
      <c r="ENH38" s="704"/>
      <c r="ENI38" s="704"/>
      <c r="ENJ38" s="704"/>
      <c r="ENK38" s="704"/>
      <c r="ENL38" s="704"/>
      <c r="ENM38" s="704"/>
      <c r="ENN38" s="704"/>
      <c r="ENO38" s="704"/>
      <c r="ENP38" s="704"/>
      <c r="ENQ38" s="704"/>
      <c r="ENR38" s="704"/>
      <c r="ENS38" s="704"/>
      <c r="ENT38" s="704"/>
      <c r="ENU38" s="704"/>
      <c r="ENV38" s="704"/>
      <c r="ENW38" s="704"/>
      <c r="ENX38" s="704"/>
      <c r="ENY38" s="704"/>
      <c r="ENZ38" s="704"/>
      <c r="EOA38" s="704"/>
      <c r="EOB38" s="704"/>
      <c r="EOC38" s="704"/>
      <c r="EOD38" s="704"/>
      <c r="EOE38" s="704"/>
      <c r="EOF38" s="704"/>
      <c r="EOG38" s="704"/>
      <c r="EOH38" s="704"/>
      <c r="EOI38" s="704"/>
      <c r="EOJ38" s="704"/>
      <c r="EOK38" s="704"/>
      <c r="EOL38" s="704"/>
      <c r="EOM38" s="704"/>
      <c r="EON38" s="704"/>
      <c r="EOO38" s="704"/>
      <c r="EOP38" s="704"/>
      <c r="EOQ38" s="704"/>
      <c r="EOR38" s="704"/>
      <c r="EOS38" s="704"/>
      <c r="EOT38" s="704"/>
      <c r="EOU38" s="704"/>
      <c r="EOV38" s="704"/>
      <c r="EOW38" s="704"/>
      <c r="EOX38" s="704"/>
      <c r="EOY38" s="704"/>
      <c r="EOZ38" s="704"/>
      <c r="EPA38" s="704"/>
      <c r="EPB38" s="704"/>
      <c r="EPC38" s="704"/>
      <c r="EPD38" s="704"/>
      <c r="EPE38" s="704"/>
      <c r="EPF38" s="704"/>
      <c r="EPG38" s="704"/>
      <c r="EPH38" s="704"/>
      <c r="EPI38" s="704"/>
      <c r="EPJ38" s="704"/>
      <c r="EPK38" s="704"/>
      <c r="EPL38" s="704"/>
      <c r="EPM38" s="704"/>
      <c r="EPN38" s="704"/>
      <c r="EPO38" s="704"/>
      <c r="EPP38" s="704"/>
      <c r="EPQ38" s="704"/>
      <c r="EPR38" s="704"/>
      <c r="EPS38" s="704"/>
      <c r="EPT38" s="704"/>
      <c r="EPU38" s="704"/>
      <c r="EPV38" s="704"/>
      <c r="EPW38" s="704"/>
      <c r="EPX38" s="704"/>
      <c r="EPY38" s="704"/>
      <c r="EPZ38" s="704"/>
      <c r="EQA38" s="704"/>
      <c r="EQB38" s="704"/>
      <c r="EQC38" s="704"/>
      <c r="EQD38" s="704"/>
      <c r="EQE38" s="704"/>
      <c r="EQF38" s="704"/>
      <c r="EQG38" s="704"/>
      <c r="EQH38" s="704"/>
      <c r="EQI38" s="704"/>
      <c r="EQJ38" s="704"/>
      <c r="EQK38" s="704"/>
      <c r="EQL38" s="704"/>
      <c r="EQM38" s="704"/>
      <c r="EQN38" s="704"/>
      <c r="EQO38" s="704"/>
      <c r="EQP38" s="704"/>
      <c r="EQQ38" s="704"/>
      <c r="EQR38" s="704"/>
      <c r="EQS38" s="704"/>
      <c r="EQT38" s="704"/>
      <c r="EQU38" s="704"/>
      <c r="EQV38" s="704"/>
      <c r="EQW38" s="704"/>
      <c r="EQX38" s="704"/>
      <c r="EQY38" s="704"/>
      <c r="EQZ38" s="704"/>
      <c r="ERA38" s="704"/>
      <c r="ERB38" s="704"/>
      <c r="ERC38" s="704"/>
      <c r="ERD38" s="704"/>
      <c r="ERE38" s="704"/>
      <c r="ERF38" s="704"/>
      <c r="ERG38" s="704"/>
      <c r="ERH38" s="704"/>
      <c r="ERI38" s="704"/>
      <c r="ERJ38" s="704"/>
      <c r="ERK38" s="704"/>
      <c r="ERL38" s="704"/>
      <c r="ERM38" s="704"/>
      <c r="ERN38" s="704"/>
      <c r="ERO38" s="704"/>
      <c r="ERP38" s="704"/>
      <c r="ERQ38" s="704"/>
      <c r="ERR38" s="704"/>
      <c r="ERS38" s="704"/>
      <c r="ERT38" s="704"/>
      <c r="ERU38" s="704"/>
      <c r="ERV38" s="704"/>
      <c r="ERW38" s="704"/>
      <c r="ERX38" s="704"/>
      <c r="ERY38" s="704"/>
      <c r="ERZ38" s="704"/>
      <c r="ESA38" s="704"/>
      <c r="ESB38" s="704"/>
      <c r="ESC38" s="704"/>
      <c r="ESD38" s="704"/>
      <c r="ESE38" s="704"/>
      <c r="ESF38" s="704"/>
      <c r="ESG38" s="704"/>
      <c r="ESH38" s="704"/>
      <c r="ESI38" s="704"/>
      <c r="ESJ38" s="704"/>
      <c r="ESK38" s="704"/>
      <c r="ESL38" s="704"/>
      <c r="ESM38" s="704"/>
      <c r="ESN38" s="704"/>
      <c r="ESO38" s="704"/>
      <c r="ESP38" s="704"/>
      <c r="ESQ38" s="704"/>
      <c r="ESR38" s="704"/>
      <c r="ESS38" s="704"/>
      <c r="EST38" s="704"/>
      <c r="ESU38" s="704"/>
      <c r="ESV38" s="704"/>
      <c r="ESW38" s="704"/>
      <c r="ESX38" s="704"/>
      <c r="ESY38" s="704"/>
      <c r="ESZ38" s="704"/>
      <c r="ETA38" s="704"/>
      <c r="ETB38" s="704"/>
      <c r="ETC38" s="704"/>
      <c r="ETD38" s="704"/>
      <c r="ETE38" s="704"/>
      <c r="ETF38" s="704"/>
      <c r="ETG38" s="704"/>
      <c r="ETH38" s="704"/>
      <c r="ETI38" s="704"/>
      <c r="ETJ38" s="704"/>
      <c r="ETK38" s="704"/>
      <c r="ETL38" s="704"/>
      <c r="ETM38" s="704"/>
      <c r="ETN38" s="704"/>
      <c r="ETO38" s="704"/>
      <c r="ETP38" s="704"/>
      <c r="ETQ38" s="704"/>
      <c r="ETR38" s="704"/>
      <c r="ETS38" s="704"/>
      <c r="ETT38" s="704"/>
      <c r="ETU38" s="704"/>
      <c r="ETV38" s="704"/>
      <c r="ETW38" s="704"/>
      <c r="ETX38" s="704"/>
      <c r="ETY38" s="704"/>
      <c r="ETZ38" s="704"/>
      <c r="EUA38" s="704"/>
      <c r="EUB38" s="704"/>
      <c r="EUC38" s="704"/>
      <c r="EUD38" s="704"/>
      <c r="EUE38" s="704"/>
      <c r="EUF38" s="704"/>
      <c r="EUG38" s="704"/>
      <c r="EUH38" s="704"/>
      <c r="EUI38" s="704"/>
      <c r="EUJ38" s="704"/>
      <c r="EUK38" s="704"/>
      <c r="EUL38" s="704"/>
      <c r="EUM38" s="704"/>
      <c r="EUN38" s="704"/>
      <c r="EUO38" s="704"/>
      <c r="EUP38" s="704"/>
      <c r="EUQ38" s="704"/>
      <c r="EUR38" s="704"/>
      <c r="EUS38" s="704"/>
      <c r="EUT38" s="704"/>
      <c r="EUU38" s="704"/>
      <c r="EUV38" s="704"/>
      <c r="EUW38" s="704"/>
      <c r="EUX38" s="704"/>
      <c r="EUY38" s="704"/>
      <c r="EUZ38" s="704"/>
      <c r="EVA38" s="704"/>
      <c r="EVB38" s="704"/>
      <c r="EVC38" s="704"/>
      <c r="EVD38" s="704"/>
      <c r="EVE38" s="704"/>
      <c r="EVF38" s="704"/>
      <c r="EVG38" s="704"/>
      <c r="EVH38" s="704"/>
      <c r="EVI38" s="704"/>
      <c r="EVJ38" s="704"/>
      <c r="EVK38" s="704"/>
      <c r="EVL38" s="704"/>
      <c r="EVM38" s="704"/>
      <c r="EVN38" s="704"/>
      <c r="EVO38" s="704"/>
      <c r="EVP38" s="704"/>
      <c r="EVQ38" s="704"/>
      <c r="EVR38" s="704"/>
      <c r="EVS38" s="704"/>
      <c r="EVT38" s="704"/>
      <c r="EVU38" s="704"/>
      <c r="EVV38" s="704"/>
      <c r="EVW38" s="704"/>
      <c r="EVX38" s="704"/>
      <c r="EVY38" s="704"/>
      <c r="EVZ38" s="704"/>
      <c r="EWA38" s="704"/>
      <c r="EWB38" s="704"/>
      <c r="EWC38" s="704"/>
      <c r="EWD38" s="704"/>
      <c r="EWE38" s="704"/>
      <c r="EWF38" s="704"/>
      <c r="EWG38" s="704"/>
      <c r="EWH38" s="704"/>
      <c r="EWI38" s="704"/>
      <c r="EWJ38" s="704"/>
      <c r="EWK38" s="704"/>
      <c r="EWL38" s="704"/>
      <c r="EWM38" s="704"/>
      <c r="EWN38" s="704"/>
      <c r="EWO38" s="704"/>
      <c r="EWP38" s="704"/>
      <c r="EWQ38" s="704"/>
      <c r="EWR38" s="704"/>
      <c r="EWS38" s="704"/>
      <c r="EWT38" s="704"/>
      <c r="EWU38" s="704"/>
      <c r="EWV38" s="704"/>
      <c r="EWW38" s="704"/>
      <c r="EWX38" s="704"/>
      <c r="EWY38" s="704"/>
      <c r="EWZ38" s="704"/>
      <c r="EXA38" s="704"/>
      <c r="EXB38" s="704"/>
      <c r="EXC38" s="704"/>
      <c r="EXD38" s="704"/>
      <c r="EXE38" s="704"/>
      <c r="EXF38" s="704"/>
      <c r="EXG38" s="704"/>
      <c r="EXH38" s="704"/>
      <c r="EXI38" s="704"/>
      <c r="EXJ38" s="704"/>
      <c r="EXK38" s="704"/>
      <c r="EXL38" s="704"/>
      <c r="EXM38" s="704"/>
      <c r="EXN38" s="704"/>
      <c r="EXO38" s="704"/>
      <c r="EXP38" s="704"/>
      <c r="EXQ38" s="704"/>
      <c r="EXR38" s="704"/>
      <c r="EXS38" s="704"/>
      <c r="EXT38" s="704"/>
      <c r="EXU38" s="704"/>
      <c r="EXV38" s="704"/>
      <c r="EXW38" s="704"/>
      <c r="EXX38" s="704"/>
      <c r="EXY38" s="704"/>
      <c r="EXZ38" s="704"/>
      <c r="EYA38" s="704"/>
      <c r="EYB38" s="704"/>
      <c r="EYC38" s="704"/>
      <c r="EYD38" s="704"/>
      <c r="EYE38" s="704"/>
      <c r="EYF38" s="704"/>
      <c r="EYG38" s="704"/>
      <c r="EYH38" s="704"/>
      <c r="EYI38" s="704"/>
      <c r="EYJ38" s="704"/>
      <c r="EYK38" s="704"/>
      <c r="EYL38" s="704"/>
      <c r="EYM38" s="704"/>
      <c r="EYN38" s="704"/>
      <c r="EYO38" s="704"/>
      <c r="EYP38" s="704"/>
      <c r="EYQ38" s="704"/>
      <c r="EYR38" s="704"/>
      <c r="EYS38" s="704"/>
      <c r="EYT38" s="704"/>
      <c r="EYU38" s="704"/>
      <c r="EYV38" s="704"/>
      <c r="EYW38" s="704"/>
      <c r="EYX38" s="704"/>
      <c r="EYY38" s="704"/>
      <c r="EYZ38" s="704"/>
      <c r="EZA38" s="704"/>
      <c r="EZB38" s="704"/>
      <c r="EZC38" s="704"/>
      <c r="EZD38" s="704"/>
      <c r="EZE38" s="704"/>
      <c r="EZF38" s="704"/>
      <c r="EZG38" s="704"/>
      <c r="EZH38" s="704"/>
      <c r="EZI38" s="704"/>
      <c r="EZJ38" s="704"/>
      <c r="EZK38" s="704"/>
      <c r="EZL38" s="704"/>
      <c r="EZM38" s="704"/>
      <c r="EZN38" s="704"/>
      <c r="EZO38" s="704"/>
      <c r="EZP38" s="704"/>
      <c r="EZQ38" s="704"/>
      <c r="EZR38" s="704"/>
      <c r="EZS38" s="704"/>
      <c r="EZT38" s="704"/>
      <c r="EZU38" s="704"/>
      <c r="EZV38" s="704"/>
      <c r="EZW38" s="704"/>
      <c r="EZX38" s="704"/>
      <c r="EZY38" s="704"/>
      <c r="EZZ38" s="704"/>
      <c r="FAA38" s="704"/>
      <c r="FAB38" s="704"/>
      <c r="FAC38" s="704"/>
      <c r="FAD38" s="704"/>
      <c r="FAE38" s="704"/>
      <c r="FAF38" s="704"/>
      <c r="FAG38" s="704"/>
      <c r="FAH38" s="704"/>
      <c r="FAI38" s="704"/>
      <c r="FAJ38" s="704"/>
      <c r="FAK38" s="704"/>
      <c r="FAL38" s="704"/>
      <c r="FAM38" s="704"/>
      <c r="FAN38" s="704"/>
      <c r="FAO38" s="704"/>
      <c r="FAP38" s="704"/>
      <c r="FAQ38" s="704"/>
      <c r="FAR38" s="704"/>
      <c r="FAS38" s="704"/>
      <c r="FAT38" s="704"/>
      <c r="FAU38" s="704"/>
      <c r="FAV38" s="704"/>
      <c r="FAW38" s="704"/>
      <c r="FAX38" s="704"/>
      <c r="FAY38" s="704"/>
      <c r="FAZ38" s="704"/>
      <c r="FBA38" s="704"/>
      <c r="FBB38" s="704"/>
      <c r="FBC38" s="704"/>
      <c r="FBD38" s="704"/>
      <c r="FBE38" s="704"/>
      <c r="FBF38" s="704"/>
      <c r="FBG38" s="704"/>
      <c r="FBH38" s="704"/>
      <c r="FBI38" s="704"/>
      <c r="FBJ38" s="704"/>
      <c r="FBK38" s="704"/>
      <c r="FBL38" s="704"/>
      <c r="FBM38" s="704"/>
      <c r="FBN38" s="704"/>
      <c r="FBO38" s="704"/>
      <c r="FBP38" s="704"/>
      <c r="FBQ38" s="704"/>
      <c r="FBR38" s="704"/>
      <c r="FBS38" s="704"/>
      <c r="FBT38" s="704"/>
      <c r="FBU38" s="704"/>
      <c r="FBV38" s="704"/>
      <c r="FBW38" s="704"/>
      <c r="FBX38" s="704"/>
      <c r="FBY38" s="704"/>
      <c r="FBZ38" s="704"/>
      <c r="FCA38" s="704"/>
      <c r="FCB38" s="704"/>
      <c r="FCC38" s="704"/>
      <c r="FCD38" s="704"/>
      <c r="FCE38" s="704"/>
      <c r="FCF38" s="704"/>
      <c r="FCG38" s="704"/>
      <c r="FCH38" s="704"/>
      <c r="FCI38" s="704"/>
      <c r="FCJ38" s="704"/>
      <c r="FCK38" s="704"/>
      <c r="FCL38" s="704"/>
      <c r="FCM38" s="704"/>
      <c r="FCN38" s="704"/>
      <c r="FCO38" s="704"/>
      <c r="FCP38" s="704"/>
      <c r="FCQ38" s="704"/>
      <c r="FCR38" s="704"/>
      <c r="FCS38" s="704"/>
      <c r="FCT38" s="704"/>
      <c r="FCU38" s="704"/>
      <c r="FCV38" s="704"/>
      <c r="FCW38" s="704"/>
      <c r="FCX38" s="704"/>
      <c r="FCY38" s="704"/>
      <c r="FCZ38" s="704"/>
      <c r="FDA38" s="704"/>
      <c r="FDB38" s="704"/>
      <c r="FDC38" s="704"/>
      <c r="FDD38" s="704"/>
      <c r="FDE38" s="704"/>
      <c r="FDF38" s="704"/>
      <c r="FDG38" s="704"/>
      <c r="FDH38" s="704"/>
      <c r="FDI38" s="704"/>
      <c r="FDJ38" s="704"/>
      <c r="FDK38" s="704"/>
      <c r="FDL38" s="704"/>
      <c r="FDM38" s="704"/>
      <c r="FDN38" s="704"/>
      <c r="FDO38" s="704"/>
      <c r="FDP38" s="704"/>
      <c r="FDQ38" s="704"/>
      <c r="FDR38" s="704"/>
      <c r="FDS38" s="704"/>
      <c r="FDT38" s="704"/>
      <c r="FDU38" s="704"/>
      <c r="FDV38" s="704"/>
      <c r="FDW38" s="704"/>
      <c r="FDX38" s="704"/>
      <c r="FDY38" s="704"/>
      <c r="FDZ38" s="704"/>
      <c r="FEA38" s="704"/>
      <c r="FEB38" s="704"/>
      <c r="FEC38" s="704"/>
      <c r="FED38" s="704"/>
      <c r="FEE38" s="704"/>
      <c r="FEF38" s="704"/>
      <c r="FEG38" s="704"/>
      <c r="FEH38" s="704"/>
      <c r="FEI38" s="704"/>
      <c r="FEJ38" s="704"/>
      <c r="FEK38" s="704"/>
      <c r="FEL38" s="704"/>
      <c r="FEM38" s="704"/>
      <c r="FEN38" s="704"/>
      <c r="FEO38" s="704"/>
      <c r="FEP38" s="704"/>
      <c r="FEQ38" s="704"/>
      <c r="FER38" s="704"/>
      <c r="FES38" s="704"/>
      <c r="FET38" s="704"/>
      <c r="FEU38" s="704"/>
      <c r="FEV38" s="704"/>
      <c r="FEW38" s="704"/>
      <c r="FEX38" s="704"/>
      <c r="FEY38" s="704"/>
      <c r="FEZ38" s="704"/>
      <c r="FFA38" s="704"/>
      <c r="FFB38" s="704"/>
      <c r="FFC38" s="704"/>
      <c r="FFD38" s="704"/>
      <c r="FFE38" s="704"/>
      <c r="FFF38" s="704"/>
      <c r="FFG38" s="704"/>
      <c r="FFH38" s="704"/>
      <c r="FFI38" s="704"/>
      <c r="FFJ38" s="704"/>
      <c r="FFK38" s="704"/>
      <c r="FFL38" s="704"/>
      <c r="FFM38" s="704"/>
      <c r="FFN38" s="704"/>
      <c r="FFO38" s="704"/>
      <c r="FFP38" s="704"/>
      <c r="FFQ38" s="704"/>
      <c r="FFR38" s="704"/>
      <c r="FFS38" s="704"/>
      <c r="FFT38" s="704"/>
      <c r="FFU38" s="704"/>
      <c r="FFV38" s="704"/>
      <c r="FFW38" s="704"/>
      <c r="FFX38" s="704"/>
      <c r="FFY38" s="704"/>
      <c r="FFZ38" s="704"/>
      <c r="FGA38" s="704"/>
      <c r="FGB38" s="704"/>
      <c r="FGC38" s="704"/>
      <c r="FGD38" s="704"/>
      <c r="FGE38" s="704"/>
      <c r="FGF38" s="704"/>
      <c r="FGG38" s="704"/>
      <c r="FGH38" s="704"/>
      <c r="FGI38" s="704"/>
      <c r="FGJ38" s="704"/>
      <c r="FGK38" s="704"/>
      <c r="FGL38" s="704"/>
      <c r="FGM38" s="704"/>
      <c r="FGN38" s="704"/>
      <c r="FGO38" s="704"/>
      <c r="FGP38" s="704"/>
      <c r="FGQ38" s="704"/>
      <c r="FGR38" s="704"/>
      <c r="FGS38" s="704"/>
      <c r="FGT38" s="704"/>
      <c r="FGU38" s="704"/>
      <c r="FGV38" s="704"/>
      <c r="FGW38" s="704"/>
      <c r="FGX38" s="704"/>
      <c r="FGY38" s="704"/>
      <c r="FGZ38" s="704"/>
      <c r="FHA38" s="704"/>
      <c r="FHB38" s="704"/>
      <c r="FHC38" s="704"/>
      <c r="FHD38" s="704"/>
      <c r="FHE38" s="704"/>
      <c r="FHF38" s="704"/>
      <c r="FHG38" s="704"/>
      <c r="FHH38" s="704"/>
      <c r="FHI38" s="704"/>
      <c r="FHJ38" s="704"/>
      <c r="FHK38" s="704"/>
      <c r="FHL38" s="704"/>
      <c r="FHM38" s="704"/>
      <c r="FHN38" s="704"/>
      <c r="FHO38" s="704"/>
      <c r="FHP38" s="704"/>
      <c r="FHQ38" s="704"/>
      <c r="FHR38" s="704"/>
      <c r="FHS38" s="704"/>
      <c r="FHT38" s="704"/>
      <c r="FHU38" s="704"/>
      <c r="FHV38" s="704"/>
      <c r="FHW38" s="704"/>
      <c r="FHX38" s="704"/>
      <c r="FHY38" s="704"/>
      <c r="FHZ38" s="704"/>
      <c r="FIA38" s="704"/>
      <c r="FIB38" s="704"/>
      <c r="FIC38" s="704"/>
      <c r="FID38" s="704"/>
      <c r="FIE38" s="704"/>
      <c r="FIF38" s="704"/>
      <c r="FIG38" s="704"/>
      <c r="FIH38" s="704"/>
      <c r="FII38" s="704"/>
      <c r="FIJ38" s="704"/>
      <c r="FIK38" s="704"/>
      <c r="FIL38" s="704"/>
      <c r="FIM38" s="704"/>
      <c r="FIN38" s="704"/>
      <c r="FIO38" s="704"/>
      <c r="FIP38" s="704"/>
      <c r="FIQ38" s="704"/>
      <c r="FIR38" s="704"/>
      <c r="FIS38" s="704"/>
      <c r="FIT38" s="704"/>
      <c r="FIU38" s="704"/>
      <c r="FIV38" s="704"/>
      <c r="FIW38" s="704"/>
      <c r="FIX38" s="704"/>
      <c r="FIY38" s="704"/>
      <c r="FIZ38" s="704"/>
      <c r="FJA38" s="704"/>
      <c r="FJB38" s="704"/>
      <c r="FJC38" s="704"/>
      <c r="FJD38" s="704"/>
      <c r="FJE38" s="704"/>
      <c r="FJF38" s="704"/>
      <c r="FJG38" s="704"/>
      <c r="FJH38" s="704"/>
      <c r="FJI38" s="704"/>
      <c r="FJJ38" s="704"/>
      <c r="FJK38" s="704"/>
      <c r="FJL38" s="704"/>
      <c r="FJM38" s="704"/>
      <c r="FJN38" s="704"/>
      <c r="FJO38" s="704"/>
      <c r="FJP38" s="704"/>
      <c r="FJQ38" s="704"/>
      <c r="FJR38" s="704"/>
      <c r="FJS38" s="704"/>
      <c r="FJT38" s="704"/>
      <c r="FJU38" s="704"/>
      <c r="FJV38" s="704"/>
      <c r="FJW38" s="704"/>
      <c r="FJX38" s="704"/>
      <c r="FJY38" s="704"/>
      <c r="FJZ38" s="704"/>
      <c r="FKA38" s="704"/>
      <c r="FKB38" s="704"/>
      <c r="FKC38" s="704"/>
      <c r="FKD38" s="704"/>
      <c r="FKE38" s="704"/>
      <c r="FKF38" s="704"/>
      <c r="FKG38" s="704"/>
      <c r="FKH38" s="704"/>
      <c r="FKI38" s="704"/>
      <c r="FKJ38" s="704"/>
      <c r="FKK38" s="704"/>
      <c r="FKL38" s="704"/>
      <c r="FKM38" s="704"/>
      <c r="FKN38" s="704"/>
      <c r="FKO38" s="704"/>
      <c r="FKP38" s="704"/>
      <c r="FKQ38" s="704"/>
      <c r="FKR38" s="704"/>
      <c r="FKS38" s="704"/>
      <c r="FKT38" s="704"/>
      <c r="FKU38" s="704"/>
      <c r="FKV38" s="704"/>
      <c r="FKW38" s="704"/>
      <c r="FKX38" s="704"/>
      <c r="FKY38" s="704"/>
      <c r="FKZ38" s="704"/>
      <c r="FLA38" s="704"/>
      <c r="FLB38" s="704"/>
      <c r="FLC38" s="704"/>
      <c r="FLD38" s="704"/>
      <c r="FLE38" s="704"/>
      <c r="FLF38" s="704"/>
      <c r="FLG38" s="704"/>
      <c r="FLH38" s="704"/>
      <c r="FLI38" s="704"/>
      <c r="FLJ38" s="704"/>
      <c r="FLK38" s="704"/>
      <c r="FLL38" s="704"/>
      <c r="FLM38" s="704"/>
      <c r="FLN38" s="704"/>
      <c r="FLO38" s="704"/>
      <c r="FLP38" s="704"/>
      <c r="FLQ38" s="704"/>
      <c r="FLR38" s="704"/>
      <c r="FLS38" s="704"/>
      <c r="FLT38" s="704"/>
      <c r="FLU38" s="704"/>
      <c r="FLV38" s="704"/>
      <c r="FLW38" s="704"/>
      <c r="FLX38" s="704"/>
      <c r="FLY38" s="704"/>
      <c r="FLZ38" s="704"/>
      <c r="FMA38" s="704"/>
      <c r="FMB38" s="704"/>
      <c r="FMC38" s="704"/>
      <c r="FMD38" s="704"/>
      <c r="FME38" s="704"/>
      <c r="FMF38" s="704"/>
      <c r="FMG38" s="704"/>
      <c r="FMH38" s="704"/>
      <c r="FMI38" s="704"/>
      <c r="FMJ38" s="704"/>
      <c r="FMK38" s="704"/>
      <c r="FML38" s="704"/>
      <c r="FMM38" s="704"/>
      <c r="FMN38" s="704"/>
      <c r="FMO38" s="704"/>
      <c r="FMP38" s="704"/>
      <c r="FMQ38" s="704"/>
      <c r="FMR38" s="704"/>
      <c r="FMS38" s="704"/>
      <c r="FMT38" s="704"/>
      <c r="FMU38" s="704"/>
      <c r="FMV38" s="704"/>
      <c r="FMW38" s="704"/>
      <c r="FMX38" s="704"/>
      <c r="FMY38" s="704"/>
      <c r="FMZ38" s="704"/>
      <c r="FNA38" s="704"/>
      <c r="FNB38" s="704"/>
      <c r="FNC38" s="704"/>
      <c r="FND38" s="704"/>
      <c r="FNE38" s="704"/>
      <c r="FNF38" s="704"/>
      <c r="FNG38" s="704"/>
      <c r="FNH38" s="704"/>
      <c r="FNI38" s="704"/>
      <c r="FNJ38" s="704"/>
      <c r="FNK38" s="704"/>
      <c r="FNL38" s="704"/>
      <c r="FNM38" s="704"/>
      <c r="FNN38" s="704"/>
      <c r="FNO38" s="704"/>
      <c r="FNP38" s="704"/>
      <c r="FNQ38" s="704"/>
      <c r="FNR38" s="704"/>
      <c r="FNS38" s="704"/>
      <c r="FNT38" s="704"/>
      <c r="FNU38" s="704"/>
      <c r="FNV38" s="704"/>
      <c r="FNW38" s="704"/>
      <c r="FNX38" s="704"/>
      <c r="FNY38" s="704"/>
      <c r="FNZ38" s="704"/>
      <c r="FOA38" s="704"/>
      <c r="FOB38" s="704"/>
      <c r="FOC38" s="704"/>
      <c r="FOD38" s="704"/>
      <c r="FOE38" s="704"/>
      <c r="FOF38" s="704"/>
      <c r="FOG38" s="704"/>
      <c r="FOH38" s="704"/>
      <c r="FOI38" s="704"/>
      <c r="FOJ38" s="704"/>
      <c r="FOK38" s="704"/>
      <c r="FOL38" s="704"/>
      <c r="FOM38" s="704"/>
      <c r="FON38" s="704"/>
      <c r="FOO38" s="704"/>
      <c r="FOP38" s="704"/>
      <c r="FOQ38" s="704"/>
      <c r="FOR38" s="704"/>
      <c r="FOS38" s="704"/>
      <c r="FOT38" s="704"/>
      <c r="FOU38" s="704"/>
      <c r="FOV38" s="704"/>
      <c r="FOW38" s="704"/>
      <c r="FOX38" s="704"/>
      <c r="FOY38" s="704"/>
      <c r="FOZ38" s="704"/>
      <c r="FPA38" s="704"/>
      <c r="FPB38" s="704"/>
      <c r="FPC38" s="704"/>
      <c r="FPD38" s="704"/>
      <c r="FPE38" s="704"/>
      <c r="FPF38" s="704"/>
      <c r="FPG38" s="704"/>
      <c r="FPH38" s="704"/>
      <c r="FPI38" s="704"/>
      <c r="FPJ38" s="704"/>
      <c r="FPK38" s="704"/>
      <c r="FPL38" s="704"/>
      <c r="FPM38" s="704"/>
      <c r="FPN38" s="704"/>
      <c r="FPO38" s="704"/>
      <c r="FPP38" s="704"/>
      <c r="FPQ38" s="704"/>
      <c r="FPR38" s="704"/>
      <c r="FPS38" s="704"/>
      <c r="FPT38" s="704"/>
      <c r="FPU38" s="704"/>
      <c r="FPV38" s="704"/>
      <c r="FPW38" s="704"/>
      <c r="FPX38" s="704"/>
      <c r="FPY38" s="704"/>
      <c r="FPZ38" s="704"/>
      <c r="FQA38" s="704"/>
      <c r="FQB38" s="704"/>
      <c r="FQC38" s="704"/>
      <c r="FQD38" s="704"/>
      <c r="FQE38" s="704"/>
      <c r="FQF38" s="704"/>
      <c r="FQG38" s="704"/>
      <c r="FQH38" s="704"/>
      <c r="FQI38" s="704"/>
      <c r="FQJ38" s="704"/>
      <c r="FQK38" s="704"/>
      <c r="FQL38" s="704"/>
      <c r="FQM38" s="704"/>
      <c r="FQN38" s="704"/>
      <c r="FQO38" s="704"/>
      <c r="FQP38" s="704"/>
      <c r="FQQ38" s="704"/>
      <c r="FQR38" s="704"/>
      <c r="FQS38" s="704"/>
      <c r="FQT38" s="704"/>
      <c r="FQU38" s="704"/>
      <c r="FQV38" s="704"/>
      <c r="FQW38" s="704"/>
      <c r="FQX38" s="704"/>
      <c r="FQY38" s="704"/>
      <c r="FQZ38" s="704"/>
      <c r="FRA38" s="704"/>
      <c r="FRB38" s="704"/>
      <c r="FRC38" s="704"/>
      <c r="FRD38" s="704"/>
      <c r="FRE38" s="704"/>
      <c r="FRF38" s="704"/>
      <c r="FRG38" s="704"/>
      <c r="FRH38" s="704"/>
      <c r="FRI38" s="704"/>
      <c r="FRJ38" s="704"/>
      <c r="FRK38" s="704"/>
      <c r="FRL38" s="704"/>
      <c r="FRM38" s="704"/>
      <c r="FRN38" s="704"/>
      <c r="FRO38" s="704"/>
      <c r="FRP38" s="704"/>
      <c r="FRQ38" s="704"/>
      <c r="FRR38" s="704"/>
      <c r="FRS38" s="704"/>
      <c r="FRT38" s="704"/>
      <c r="FRU38" s="704"/>
      <c r="FRV38" s="704"/>
      <c r="FRW38" s="704"/>
      <c r="FRX38" s="704"/>
      <c r="FRY38" s="704"/>
      <c r="FRZ38" s="704"/>
      <c r="FSA38" s="704"/>
      <c r="FSB38" s="704"/>
      <c r="FSC38" s="704"/>
      <c r="FSD38" s="704"/>
      <c r="FSE38" s="704"/>
      <c r="FSF38" s="704"/>
      <c r="FSG38" s="704"/>
      <c r="FSH38" s="704"/>
      <c r="FSI38" s="704"/>
      <c r="FSJ38" s="704"/>
      <c r="FSK38" s="704"/>
      <c r="FSL38" s="704"/>
      <c r="FSM38" s="704"/>
      <c r="FSN38" s="704"/>
      <c r="FSO38" s="704"/>
      <c r="FSP38" s="704"/>
      <c r="FSQ38" s="704"/>
      <c r="FSR38" s="704"/>
      <c r="FSS38" s="704"/>
      <c r="FST38" s="704"/>
      <c r="FSU38" s="704"/>
      <c r="FSV38" s="704"/>
      <c r="FSW38" s="704"/>
      <c r="FSX38" s="704"/>
      <c r="FSY38" s="704"/>
      <c r="FSZ38" s="704"/>
      <c r="FTA38" s="704"/>
      <c r="FTB38" s="704"/>
      <c r="FTC38" s="704"/>
      <c r="FTD38" s="704"/>
      <c r="FTE38" s="704"/>
      <c r="FTF38" s="704"/>
      <c r="FTG38" s="704"/>
      <c r="FTH38" s="704"/>
      <c r="FTI38" s="704"/>
      <c r="FTJ38" s="704"/>
      <c r="FTK38" s="704"/>
      <c r="FTL38" s="704"/>
      <c r="FTM38" s="704"/>
      <c r="FTN38" s="704"/>
      <c r="FTO38" s="704"/>
      <c r="FTP38" s="704"/>
      <c r="FTQ38" s="704"/>
      <c r="FTR38" s="704"/>
      <c r="FTS38" s="704"/>
      <c r="FTT38" s="704"/>
      <c r="FTU38" s="704"/>
      <c r="FTV38" s="704"/>
      <c r="FTW38" s="704"/>
      <c r="FTX38" s="704"/>
      <c r="FTY38" s="704"/>
      <c r="FTZ38" s="704"/>
      <c r="FUA38" s="704"/>
      <c r="FUB38" s="704"/>
      <c r="FUC38" s="704"/>
      <c r="FUD38" s="704"/>
      <c r="FUE38" s="704"/>
      <c r="FUF38" s="704"/>
      <c r="FUG38" s="704"/>
      <c r="FUH38" s="704"/>
      <c r="FUI38" s="704"/>
      <c r="FUJ38" s="704"/>
      <c r="FUK38" s="704"/>
      <c r="FUL38" s="704"/>
      <c r="FUM38" s="704"/>
      <c r="FUN38" s="704"/>
      <c r="FUO38" s="704"/>
      <c r="FUP38" s="704"/>
      <c r="FUQ38" s="704"/>
      <c r="FUR38" s="704"/>
      <c r="FUS38" s="704"/>
      <c r="FUT38" s="704"/>
      <c r="FUU38" s="704"/>
      <c r="FUV38" s="704"/>
      <c r="FUW38" s="704"/>
      <c r="FUX38" s="704"/>
      <c r="FUY38" s="704"/>
      <c r="FUZ38" s="704"/>
      <c r="FVA38" s="704"/>
      <c r="FVB38" s="704"/>
      <c r="FVC38" s="704"/>
      <c r="FVD38" s="704"/>
      <c r="FVE38" s="704"/>
      <c r="FVF38" s="704"/>
      <c r="FVG38" s="704"/>
      <c r="FVH38" s="704"/>
      <c r="FVI38" s="704"/>
      <c r="FVJ38" s="704"/>
      <c r="FVK38" s="704"/>
      <c r="FVL38" s="704"/>
      <c r="FVM38" s="704"/>
      <c r="FVN38" s="704"/>
      <c r="FVO38" s="704"/>
      <c r="FVP38" s="704"/>
      <c r="FVQ38" s="704"/>
      <c r="FVR38" s="704"/>
      <c r="FVS38" s="704"/>
      <c r="FVT38" s="704"/>
      <c r="FVU38" s="704"/>
      <c r="FVV38" s="704"/>
      <c r="FVW38" s="704"/>
      <c r="FVX38" s="704"/>
      <c r="FVY38" s="704"/>
      <c r="FVZ38" s="704"/>
      <c r="FWA38" s="704"/>
      <c r="FWB38" s="704"/>
      <c r="FWC38" s="704"/>
      <c r="FWD38" s="704"/>
      <c r="FWE38" s="704"/>
      <c r="FWF38" s="704"/>
      <c r="FWG38" s="704"/>
      <c r="FWH38" s="704"/>
      <c r="FWI38" s="704"/>
      <c r="FWJ38" s="704"/>
      <c r="FWK38" s="704"/>
      <c r="FWL38" s="704"/>
      <c r="FWM38" s="704"/>
      <c r="FWN38" s="704"/>
      <c r="FWO38" s="704"/>
      <c r="FWP38" s="704"/>
      <c r="FWQ38" s="704"/>
      <c r="FWR38" s="704"/>
      <c r="FWS38" s="704"/>
      <c r="FWT38" s="704"/>
      <c r="FWU38" s="704"/>
      <c r="FWV38" s="704"/>
      <c r="FWW38" s="704"/>
      <c r="FWX38" s="704"/>
      <c r="FWY38" s="704"/>
      <c r="FWZ38" s="704"/>
      <c r="FXA38" s="704"/>
      <c r="FXB38" s="704"/>
      <c r="FXC38" s="704"/>
      <c r="FXD38" s="704"/>
      <c r="FXE38" s="704"/>
      <c r="FXF38" s="704"/>
      <c r="FXG38" s="704"/>
      <c r="FXH38" s="704"/>
      <c r="FXI38" s="704"/>
      <c r="FXJ38" s="704"/>
      <c r="FXK38" s="704"/>
      <c r="FXL38" s="704"/>
      <c r="FXM38" s="704"/>
      <c r="FXN38" s="704"/>
      <c r="FXO38" s="704"/>
      <c r="FXP38" s="704"/>
      <c r="FXQ38" s="704"/>
      <c r="FXR38" s="704"/>
      <c r="FXS38" s="704"/>
      <c r="FXT38" s="704"/>
      <c r="FXU38" s="704"/>
      <c r="FXV38" s="704"/>
      <c r="FXW38" s="704"/>
      <c r="FXX38" s="704"/>
      <c r="FXY38" s="704"/>
      <c r="FXZ38" s="704"/>
      <c r="FYA38" s="704"/>
      <c r="FYB38" s="704"/>
      <c r="FYC38" s="704"/>
      <c r="FYD38" s="704"/>
      <c r="FYE38" s="704"/>
      <c r="FYF38" s="704"/>
      <c r="FYG38" s="704"/>
      <c r="FYH38" s="704"/>
      <c r="FYI38" s="704"/>
      <c r="FYJ38" s="704"/>
      <c r="FYK38" s="704"/>
      <c r="FYL38" s="704"/>
      <c r="FYM38" s="704"/>
      <c r="FYN38" s="704"/>
      <c r="FYO38" s="704"/>
      <c r="FYP38" s="704"/>
      <c r="FYQ38" s="704"/>
      <c r="FYR38" s="704"/>
      <c r="FYS38" s="704"/>
      <c r="FYT38" s="704"/>
      <c r="FYU38" s="704"/>
      <c r="FYV38" s="704"/>
      <c r="FYW38" s="704"/>
      <c r="FYX38" s="704"/>
      <c r="FYY38" s="704"/>
      <c r="FYZ38" s="704"/>
      <c r="FZA38" s="704"/>
      <c r="FZB38" s="704"/>
      <c r="FZC38" s="704"/>
      <c r="FZD38" s="704"/>
      <c r="FZE38" s="704"/>
      <c r="FZF38" s="704"/>
      <c r="FZG38" s="704"/>
      <c r="FZH38" s="704"/>
      <c r="FZI38" s="704"/>
      <c r="FZJ38" s="704"/>
      <c r="FZK38" s="704"/>
      <c r="FZL38" s="704"/>
      <c r="FZM38" s="704"/>
      <c r="FZN38" s="704"/>
      <c r="FZO38" s="704"/>
      <c r="FZP38" s="704"/>
      <c r="FZQ38" s="704"/>
      <c r="FZR38" s="704"/>
      <c r="FZS38" s="704"/>
      <c r="FZT38" s="704"/>
      <c r="FZU38" s="704"/>
      <c r="FZV38" s="704"/>
      <c r="FZW38" s="704"/>
      <c r="FZX38" s="704"/>
      <c r="FZY38" s="704"/>
      <c r="FZZ38" s="704"/>
      <c r="GAA38" s="704"/>
      <c r="GAB38" s="704"/>
      <c r="GAC38" s="704"/>
      <c r="GAD38" s="704"/>
      <c r="GAE38" s="704"/>
      <c r="GAF38" s="704"/>
      <c r="GAG38" s="704"/>
      <c r="GAH38" s="704"/>
      <c r="GAI38" s="704"/>
      <c r="GAJ38" s="704"/>
      <c r="GAK38" s="704"/>
      <c r="GAL38" s="704"/>
      <c r="GAM38" s="704"/>
      <c r="GAN38" s="704"/>
      <c r="GAO38" s="704"/>
      <c r="GAP38" s="704"/>
      <c r="GAQ38" s="704"/>
      <c r="GAR38" s="704"/>
      <c r="GAS38" s="704"/>
      <c r="GAT38" s="704"/>
      <c r="GAU38" s="704"/>
      <c r="GAV38" s="704"/>
      <c r="GAW38" s="704"/>
      <c r="GAX38" s="704"/>
      <c r="GAY38" s="704"/>
      <c r="GAZ38" s="704"/>
      <c r="GBA38" s="704"/>
      <c r="GBB38" s="704"/>
      <c r="GBC38" s="704"/>
      <c r="GBD38" s="704"/>
      <c r="GBE38" s="704"/>
      <c r="GBF38" s="704"/>
      <c r="GBG38" s="704"/>
      <c r="GBH38" s="704"/>
      <c r="GBI38" s="704"/>
      <c r="GBJ38" s="704"/>
      <c r="GBK38" s="704"/>
      <c r="GBL38" s="704"/>
      <c r="GBM38" s="704"/>
      <c r="GBN38" s="704"/>
      <c r="GBO38" s="704"/>
      <c r="GBP38" s="704"/>
      <c r="GBQ38" s="704"/>
      <c r="GBR38" s="704"/>
      <c r="GBS38" s="704"/>
      <c r="GBT38" s="704"/>
      <c r="GBU38" s="704"/>
      <c r="GBV38" s="704"/>
      <c r="GBW38" s="704"/>
      <c r="GBX38" s="704"/>
      <c r="GBY38" s="704"/>
      <c r="GBZ38" s="704"/>
      <c r="GCA38" s="704"/>
      <c r="GCB38" s="704"/>
      <c r="GCC38" s="704"/>
      <c r="GCD38" s="704"/>
      <c r="GCE38" s="704"/>
      <c r="GCF38" s="704"/>
      <c r="GCG38" s="704"/>
      <c r="GCH38" s="704"/>
      <c r="GCI38" s="704"/>
      <c r="GCJ38" s="704"/>
      <c r="GCK38" s="704"/>
      <c r="GCL38" s="704"/>
      <c r="GCM38" s="704"/>
      <c r="GCN38" s="704"/>
      <c r="GCO38" s="704"/>
      <c r="GCP38" s="704"/>
      <c r="GCQ38" s="704"/>
      <c r="GCR38" s="704"/>
      <c r="GCS38" s="704"/>
      <c r="GCT38" s="704"/>
      <c r="GCU38" s="704"/>
      <c r="GCV38" s="704"/>
      <c r="GCW38" s="704"/>
      <c r="GCX38" s="704"/>
      <c r="GCY38" s="704"/>
      <c r="GCZ38" s="704"/>
      <c r="GDA38" s="704"/>
      <c r="GDB38" s="704"/>
      <c r="GDC38" s="704"/>
      <c r="GDD38" s="704"/>
      <c r="GDE38" s="704"/>
      <c r="GDF38" s="704"/>
      <c r="GDG38" s="704"/>
      <c r="GDH38" s="704"/>
      <c r="GDI38" s="704"/>
      <c r="GDJ38" s="704"/>
      <c r="GDK38" s="704"/>
      <c r="GDL38" s="704"/>
      <c r="GDM38" s="704"/>
      <c r="GDN38" s="704"/>
      <c r="GDO38" s="704"/>
      <c r="GDP38" s="704"/>
      <c r="GDQ38" s="704"/>
      <c r="GDR38" s="704"/>
      <c r="GDS38" s="704"/>
      <c r="GDT38" s="704"/>
      <c r="GDU38" s="704"/>
      <c r="GDV38" s="704"/>
      <c r="GDW38" s="704"/>
      <c r="GDX38" s="704"/>
      <c r="GDY38" s="704"/>
      <c r="GDZ38" s="704"/>
      <c r="GEA38" s="704"/>
      <c r="GEB38" s="704"/>
      <c r="GEC38" s="704"/>
      <c r="GED38" s="704"/>
      <c r="GEE38" s="704"/>
      <c r="GEF38" s="704"/>
      <c r="GEG38" s="704"/>
      <c r="GEH38" s="704"/>
      <c r="GEI38" s="704"/>
      <c r="GEJ38" s="704"/>
      <c r="GEK38" s="704"/>
      <c r="GEL38" s="704"/>
      <c r="GEM38" s="704"/>
      <c r="GEN38" s="704"/>
      <c r="GEO38" s="704"/>
      <c r="GEP38" s="704"/>
      <c r="GEQ38" s="704"/>
      <c r="GER38" s="704"/>
      <c r="GES38" s="704"/>
      <c r="GET38" s="704"/>
      <c r="GEU38" s="704"/>
      <c r="GEV38" s="704"/>
      <c r="GEW38" s="704"/>
      <c r="GEX38" s="704"/>
      <c r="GEY38" s="704"/>
      <c r="GEZ38" s="704"/>
      <c r="GFA38" s="704"/>
      <c r="GFB38" s="704"/>
      <c r="GFC38" s="704"/>
      <c r="GFD38" s="704"/>
      <c r="GFE38" s="704"/>
      <c r="GFF38" s="704"/>
      <c r="GFG38" s="704"/>
      <c r="GFH38" s="704"/>
      <c r="GFI38" s="704"/>
      <c r="GFJ38" s="704"/>
      <c r="GFK38" s="704"/>
      <c r="GFL38" s="704"/>
      <c r="GFM38" s="704"/>
      <c r="GFN38" s="704"/>
      <c r="GFO38" s="704"/>
      <c r="GFP38" s="704"/>
      <c r="GFQ38" s="704"/>
      <c r="GFR38" s="704"/>
      <c r="GFS38" s="704"/>
      <c r="GFT38" s="704"/>
      <c r="GFU38" s="704"/>
      <c r="GFV38" s="704"/>
      <c r="GFW38" s="704"/>
      <c r="GFX38" s="704"/>
      <c r="GFY38" s="704"/>
      <c r="GFZ38" s="704"/>
      <c r="GGA38" s="704"/>
      <c r="GGB38" s="704"/>
      <c r="GGC38" s="704"/>
      <c r="GGD38" s="704"/>
      <c r="GGE38" s="704"/>
      <c r="GGF38" s="704"/>
      <c r="GGG38" s="704"/>
      <c r="GGH38" s="704"/>
      <c r="GGI38" s="704"/>
      <c r="GGJ38" s="704"/>
      <c r="GGK38" s="704"/>
      <c r="GGL38" s="704"/>
      <c r="GGM38" s="704"/>
      <c r="GGN38" s="704"/>
      <c r="GGO38" s="704"/>
      <c r="GGP38" s="704"/>
      <c r="GGQ38" s="704"/>
      <c r="GGR38" s="704"/>
      <c r="GGS38" s="704"/>
      <c r="GGT38" s="704"/>
      <c r="GGU38" s="704"/>
      <c r="GGV38" s="704"/>
      <c r="GGW38" s="704"/>
      <c r="GGX38" s="704"/>
      <c r="GGY38" s="704"/>
      <c r="GGZ38" s="704"/>
      <c r="GHA38" s="704"/>
      <c r="GHB38" s="704"/>
      <c r="GHC38" s="704"/>
      <c r="GHD38" s="704"/>
      <c r="GHE38" s="704"/>
      <c r="GHF38" s="704"/>
      <c r="GHG38" s="704"/>
      <c r="GHH38" s="704"/>
      <c r="GHI38" s="704"/>
      <c r="GHJ38" s="704"/>
      <c r="GHK38" s="704"/>
      <c r="GHL38" s="704"/>
      <c r="GHM38" s="704"/>
      <c r="GHN38" s="704"/>
      <c r="GHO38" s="704"/>
      <c r="GHP38" s="704"/>
      <c r="GHQ38" s="704"/>
      <c r="GHR38" s="704"/>
      <c r="GHS38" s="704"/>
      <c r="GHT38" s="704"/>
      <c r="GHU38" s="704"/>
      <c r="GHV38" s="704"/>
      <c r="GHW38" s="704"/>
      <c r="GHX38" s="704"/>
      <c r="GHY38" s="704"/>
      <c r="GHZ38" s="704"/>
      <c r="GIA38" s="704"/>
      <c r="GIB38" s="704"/>
      <c r="GIC38" s="704"/>
      <c r="GID38" s="704"/>
      <c r="GIE38" s="704"/>
      <c r="GIF38" s="704"/>
      <c r="GIG38" s="704"/>
      <c r="GIH38" s="704"/>
      <c r="GII38" s="704"/>
      <c r="GIJ38" s="704"/>
      <c r="GIK38" s="704"/>
      <c r="GIL38" s="704"/>
      <c r="GIM38" s="704"/>
      <c r="GIN38" s="704"/>
      <c r="GIO38" s="704"/>
      <c r="GIP38" s="704"/>
      <c r="GIQ38" s="704"/>
      <c r="GIR38" s="704"/>
      <c r="GIS38" s="704"/>
      <c r="GIT38" s="704"/>
      <c r="GIU38" s="704"/>
      <c r="GIV38" s="704"/>
      <c r="GIW38" s="704"/>
      <c r="GIX38" s="704"/>
      <c r="GIY38" s="704"/>
      <c r="GIZ38" s="704"/>
      <c r="GJA38" s="704"/>
      <c r="GJB38" s="704"/>
      <c r="GJC38" s="704"/>
      <c r="GJD38" s="704"/>
      <c r="GJE38" s="704"/>
      <c r="GJF38" s="704"/>
      <c r="GJG38" s="704"/>
      <c r="GJH38" s="704"/>
      <c r="GJI38" s="704"/>
      <c r="GJJ38" s="704"/>
      <c r="GJK38" s="704"/>
      <c r="GJL38" s="704"/>
      <c r="GJM38" s="704"/>
      <c r="GJN38" s="704"/>
      <c r="GJO38" s="704"/>
      <c r="GJP38" s="704"/>
      <c r="GJQ38" s="704"/>
      <c r="GJR38" s="704"/>
      <c r="GJS38" s="704"/>
      <c r="GJT38" s="704"/>
      <c r="GJU38" s="704"/>
      <c r="GJV38" s="704"/>
      <c r="GJW38" s="704"/>
      <c r="GJX38" s="704"/>
      <c r="GJY38" s="704"/>
      <c r="GJZ38" s="704"/>
      <c r="GKA38" s="704"/>
      <c r="GKB38" s="704"/>
      <c r="GKC38" s="704"/>
      <c r="GKD38" s="704"/>
      <c r="GKE38" s="704"/>
      <c r="GKF38" s="704"/>
      <c r="GKG38" s="704"/>
      <c r="GKH38" s="704"/>
      <c r="GKI38" s="704"/>
      <c r="GKJ38" s="704"/>
      <c r="GKK38" s="704"/>
      <c r="GKL38" s="704"/>
      <c r="GKM38" s="704"/>
      <c r="GKN38" s="704"/>
      <c r="GKO38" s="704"/>
      <c r="GKP38" s="704"/>
      <c r="GKQ38" s="704"/>
      <c r="GKR38" s="704"/>
      <c r="GKS38" s="704"/>
      <c r="GKT38" s="704"/>
      <c r="GKU38" s="704"/>
      <c r="GKV38" s="704"/>
      <c r="GKW38" s="704"/>
      <c r="GKX38" s="704"/>
      <c r="GKY38" s="704"/>
      <c r="GKZ38" s="704"/>
      <c r="GLA38" s="704"/>
      <c r="GLB38" s="704"/>
      <c r="GLC38" s="704"/>
      <c r="GLD38" s="704"/>
      <c r="GLE38" s="704"/>
      <c r="GLF38" s="704"/>
      <c r="GLG38" s="704"/>
      <c r="GLH38" s="704"/>
      <c r="GLI38" s="704"/>
      <c r="GLJ38" s="704"/>
      <c r="GLK38" s="704"/>
      <c r="GLL38" s="704"/>
      <c r="GLM38" s="704"/>
      <c r="GLN38" s="704"/>
      <c r="GLO38" s="704"/>
      <c r="GLP38" s="704"/>
      <c r="GLQ38" s="704"/>
      <c r="GLR38" s="704"/>
      <c r="GLS38" s="704"/>
      <c r="GLT38" s="704"/>
      <c r="GLU38" s="704"/>
      <c r="GLV38" s="704"/>
      <c r="GLW38" s="704"/>
      <c r="GLX38" s="704"/>
      <c r="GLY38" s="704"/>
      <c r="GLZ38" s="704"/>
      <c r="GMA38" s="704"/>
      <c r="GMB38" s="704"/>
      <c r="GMC38" s="704"/>
      <c r="GMD38" s="704"/>
      <c r="GME38" s="704"/>
      <c r="GMF38" s="704"/>
      <c r="GMG38" s="704"/>
      <c r="GMH38" s="704"/>
      <c r="GMI38" s="704"/>
      <c r="GMJ38" s="704"/>
      <c r="GMK38" s="704"/>
      <c r="GML38" s="704"/>
      <c r="GMM38" s="704"/>
      <c r="GMN38" s="704"/>
      <c r="GMO38" s="704"/>
      <c r="GMP38" s="704"/>
      <c r="GMQ38" s="704"/>
      <c r="GMR38" s="704"/>
      <c r="GMS38" s="704"/>
      <c r="GMT38" s="704"/>
      <c r="GMU38" s="704"/>
      <c r="GMV38" s="704"/>
      <c r="GMW38" s="704"/>
      <c r="GMX38" s="704"/>
      <c r="GMY38" s="704"/>
      <c r="GMZ38" s="704"/>
      <c r="GNA38" s="704"/>
      <c r="GNB38" s="704"/>
      <c r="GNC38" s="704"/>
      <c r="GND38" s="704"/>
      <c r="GNE38" s="704"/>
      <c r="GNF38" s="704"/>
      <c r="GNG38" s="704"/>
      <c r="GNH38" s="704"/>
      <c r="GNI38" s="704"/>
      <c r="GNJ38" s="704"/>
      <c r="GNK38" s="704"/>
      <c r="GNL38" s="704"/>
      <c r="GNM38" s="704"/>
      <c r="GNN38" s="704"/>
      <c r="GNO38" s="704"/>
      <c r="GNP38" s="704"/>
      <c r="GNQ38" s="704"/>
      <c r="GNR38" s="704"/>
      <c r="GNS38" s="704"/>
      <c r="GNT38" s="704"/>
      <c r="GNU38" s="704"/>
      <c r="GNV38" s="704"/>
      <c r="GNW38" s="704"/>
      <c r="GNX38" s="704"/>
      <c r="GNY38" s="704"/>
      <c r="GNZ38" s="704"/>
      <c r="GOA38" s="704"/>
      <c r="GOB38" s="704"/>
      <c r="GOC38" s="704"/>
      <c r="GOD38" s="704"/>
      <c r="GOE38" s="704"/>
      <c r="GOF38" s="704"/>
      <c r="GOG38" s="704"/>
      <c r="GOH38" s="704"/>
      <c r="GOI38" s="704"/>
      <c r="GOJ38" s="704"/>
      <c r="GOK38" s="704"/>
      <c r="GOL38" s="704"/>
      <c r="GOM38" s="704"/>
      <c r="GON38" s="704"/>
      <c r="GOO38" s="704"/>
      <c r="GOP38" s="704"/>
      <c r="GOQ38" s="704"/>
      <c r="GOR38" s="704"/>
      <c r="GOS38" s="704"/>
      <c r="GOT38" s="704"/>
      <c r="GOU38" s="704"/>
      <c r="GOV38" s="704"/>
      <c r="GOW38" s="704"/>
      <c r="GOX38" s="704"/>
      <c r="GOY38" s="704"/>
      <c r="GOZ38" s="704"/>
      <c r="GPA38" s="704"/>
      <c r="GPB38" s="704"/>
      <c r="GPC38" s="704"/>
      <c r="GPD38" s="704"/>
      <c r="GPE38" s="704"/>
      <c r="GPF38" s="704"/>
      <c r="GPG38" s="704"/>
      <c r="GPH38" s="704"/>
      <c r="GPI38" s="704"/>
      <c r="GPJ38" s="704"/>
      <c r="GPK38" s="704"/>
      <c r="GPL38" s="704"/>
      <c r="GPM38" s="704"/>
      <c r="GPN38" s="704"/>
      <c r="GPO38" s="704"/>
      <c r="GPP38" s="704"/>
      <c r="GPQ38" s="704"/>
      <c r="GPR38" s="704"/>
      <c r="GPS38" s="704"/>
      <c r="GPT38" s="704"/>
      <c r="GPU38" s="704"/>
      <c r="GPV38" s="704"/>
      <c r="GPW38" s="704"/>
      <c r="GPX38" s="704"/>
      <c r="GPY38" s="704"/>
      <c r="GPZ38" s="704"/>
      <c r="GQA38" s="704"/>
      <c r="GQB38" s="704"/>
      <c r="GQC38" s="704"/>
      <c r="GQD38" s="704"/>
      <c r="GQE38" s="704"/>
      <c r="GQF38" s="704"/>
      <c r="GQG38" s="704"/>
      <c r="GQH38" s="704"/>
      <c r="GQI38" s="704"/>
      <c r="GQJ38" s="704"/>
      <c r="GQK38" s="704"/>
      <c r="GQL38" s="704"/>
      <c r="GQM38" s="704"/>
      <c r="GQN38" s="704"/>
      <c r="GQO38" s="704"/>
      <c r="GQP38" s="704"/>
      <c r="GQQ38" s="704"/>
      <c r="GQR38" s="704"/>
      <c r="GQS38" s="704"/>
      <c r="GQT38" s="704"/>
      <c r="GQU38" s="704"/>
      <c r="GQV38" s="704"/>
      <c r="GQW38" s="704"/>
      <c r="GQX38" s="704"/>
      <c r="GQY38" s="704"/>
      <c r="GQZ38" s="704"/>
      <c r="GRA38" s="704"/>
      <c r="GRB38" s="704"/>
      <c r="GRC38" s="704"/>
      <c r="GRD38" s="704"/>
      <c r="GRE38" s="704"/>
      <c r="GRF38" s="704"/>
      <c r="GRG38" s="704"/>
      <c r="GRH38" s="704"/>
      <c r="GRI38" s="704"/>
      <c r="GRJ38" s="704"/>
      <c r="GRK38" s="704"/>
      <c r="GRL38" s="704"/>
      <c r="GRM38" s="704"/>
      <c r="GRN38" s="704"/>
      <c r="GRO38" s="704"/>
      <c r="GRP38" s="704"/>
      <c r="GRQ38" s="704"/>
      <c r="GRR38" s="704"/>
      <c r="GRS38" s="704"/>
      <c r="GRT38" s="704"/>
      <c r="GRU38" s="704"/>
      <c r="GRV38" s="704"/>
      <c r="GRW38" s="704"/>
      <c r="GRX38" s="704"/>
      <c r="GRY38" s="704"/>
      <c r="GRZ38" s="704"/>
      <c r="GSA38" s="704"/>
      <c r="GSB38" s="704"/>
      <c r="GSC38" s="704"/>
      <c r="GSD38" s="704"/>
      <c r="GSE38" s="704"/>
      <c r="GSF38" s="704"/>
      <c r="GSG38" s="704"/>
      <c r="GSH38" s="704"/>
      <c r="GSI38" s="704"/>
      <c r="GSJ38" s="704"/>
      <c r="GSK38" s="704"/>
      <c r="GSL38" s="704"/>
      <c r="GSM38" s="704"/>
      <c r="GSN38" s="704"/>
      <c r="GSO38" s="704"/>
      <c r="GSP38" s="704"/>
      <c r="GSQ38" s="704"/>
      <c r="GSR38" s="704"/>
      <c r="GSS38" s="704"/>
      <c r="GST38" s="704"/>
      <c r="GSU38" s="704"/>
      <c r="GSV38" s="704"/>
      <c r="GSW38" s="704"/>
      <c r="GSX38" s="704"/>
      <c r="GSY38" s="704"/>
      <c r="GSZ38" s="704"/>
      <c r="GTA38" s="704"/>
      <c r="GTB38" s="704"/>
      <c r="GTC38" s="704"/>
      <c r="GTD38" s="704"/>
      <c r="GTE38" s="704"/>
      <c r="GTF38" s="704"/>
      <c r="GTG38" s="704"/>
      <c r="GTH38" s="704"/>
      <c r="GTI38" s="704"/>
      <c r="GTJ38" s="704"/>
      <c r="GTK38" s="704"/>
      <c r="GTL38" s="704"/>
      <c r="GTM38" s="704"/>
      <c r="GTN38" s="704"/>
      <c r="GTO38" s="704"/>
      <c r="GTP38" s="704"/>
      <c r="GTQ38" s="704"/>
      <c r="GTR38" s="704"/>
      <c r="GTS38" s="704"/>
      <c r="GTT38" s="704"/>
      <c r="GTU38" s="704"/>
      <c r="GTV38" s="704"/>
      <c r="GTW38" s="704"/>
      <c r="GTX38" s="704"/>
      <c r="GTY38" s="704"/>
      <c r="GTZ38" s="704"/>
      <c r="GUA38" s="704"/>
      <c r="GUB38" s="704"/>
      <c r="GUC38" s="704"/>
      <c r="GUD38" s="704"/>
      <c r="GUE38" s="704"/>
      <c r="GUF38" s="704"/>
      <c r="GUG38" s="704"/>
      <c r="GUH38" s="704"/>
      <c r="GUI38" s="704"/>
      <c r="GUJ38" s="704"/>
      <c r="GUK38" s="704"/>
      <c r="GUL38" s="704"/>
      <c r="GUM38" s="704"/>
      <c r="GUN38" s="704"/>
      <c r="GUO38" s="704"/>
      <c r="GUP38" s="704"/>
      <c r="GUQ38" s="704"/>
      <c r="GUR38" s="704"/>
      <c r="GUS38" s="704"/>
      <c r="GUT38" s="704"/>
      <c r="GUU38" s="704"/>
      <c r="GUV38" s="704"/>
      <c r="GUW38" s="704"/>
      <c r="GUX38" s="704"/>
      <c r="GUY38" s="704"/>
      <c r="GUZ38" s="704"/>
      <c r="GVA38" s="704"/>
      <c r="GVB38" s="704"/>
      <c r="GVC38" s="704"/>
      <c r="GVD38" s="704"/>
      <c r="GVE38" s="704"/>
      <c r="GVF38" s="704"/>
      <c r="GVG38" s="704"/>
      <c r="GVH38" s="704"/>
      <c r="GVI38" s="704"/>
      <c r="GVJ38" s="704"/>
      <c r="GVK38" s="704"/>
      <c r="GVL38" s="704"/>
      <c r="GVM38" s="704"/>
      <c r="GVN38" s="704"/>
      <c r="GVO38" s="704"/>
      <c r="GVP38" s="704"/>
      <c r="GVQ38" s="704"/>
      <c r="GVR38" s="704"/>
      <c r="GVS38" s="704"/>
      <c r="GVT38" s="704"/>
      <c r="GVU38" s="704"/>
      <c r="GVV38" s="704"/>
      <c r="GVW38" s="704"/>
      <c r="GVX38" s="704"/>
      <c r="GVY38" s="704"/>
      <c r="GVZ38" s="704"/>
      <c r="GWA38" s="704"/>
      <c r="GWB38" s="704"/>
      <c r="GWC38" s="704"/>
      <c r="GWD38" s="704"/>
      <c r="GWE38" s="704"/>
      <c r="GWF38" s="704"/>
      <c r="GWG38" s="704"/>
      <c r="GWH38" s="704"/>
      <c r="GWI38" s="704"/>
      <c r="GWJ38" s="704"/>
      <c r="GWK38" s="704"/>
      <c r="GWL38" s="704"/>
      <c r="GWM38" s="704"/>
      <c r="GWN38" s="704"/>
      <c r="GWO38" s="704"/>
      <c r="GWP38" s="704"/>
      <c r="GWQ38" s="704"/>
      <c r="GWR38" s="704"/>
      <c r="GWS38" s="704"/>
      <c r="GWT38" s="704"/>
      <c r="GWU38" s="704"/>
      <c r="GWV38" s="704"/>
      <c r="GWW38" s="704"/>
      <c r="GWX38" s="704"/>
      <c r="GWY38" s="704"/>
      <c r="GWZ38" s="704"/>
      <c r="GXA38" s="704"/>
      <c r="GXB38" s="704"/>
      <c r="GXC38" s="704"/>
      <c r="GXD38" s="704"/>
      <c r="GXE38" s="704"/>
      <c r="GXF38" s="704"/>
      <c r="GXG38" s="704"/>
      <c r="GXH38" s="704"/>
      <c r="GXI38" s="704"/>
      <c r="GXJ38" s="704"/>
      <c r="GXK38" s="704"/>
      <c r="GXL38" s="704"/>
      <c r="GXM38" s="704"/>
      <c r="GXN38" s="704"/>
      <c r="GXO38" s="704"/>
      <c r="GXP38" s="704"/>
      <c r="GXQ38" s="704"/>
      <c r="GXR38" s="704"/>
      <c r="GXS38" s="704"/>
      <c r="GXT38" s="704"/>
      <c r="GXU38" s="704"/>
      <c r="GXV38" s="704"/>
      <c r="GXW38" s="704"/>
      <c r="GXX38" s="704"/>
      <c r="GXY38" s="704"/>
      <c r="GXZ38" s="704"/>
      <c r="GYA38" s="704"/>
      <c r="GYB38" s="704"/>
      <c r="GYC38" s="704"/>
      <c r="GYD38" s="704"/>
      <c r="GYE38" s="704"/>
      <c r="GYF38" s="704"/>
      <c r="GYG38" s="704"/>
      <c r="GYH38" s="704"/>
      <c r="GYI38" s="704"/>
      <c r="GYJ38" s="704"/>
      <c r="GYK38" s="704"/>
      <c r="GYL38" s="704"/>
      <c r="GYM38" s="704"/>
      <c r="GYN38" s="704"/>
      <c r="GYO38" s="704"/>
      <c r="GYP38" s="704"/>
      <c r="GYQ38" s="704"/>
      <c r="GYR38" s="704"/>
      <c r="GYS38" s="704"/>
      <c r="GYT38" s="704"/>
      <c r="GYU38" s="704"/>
      <c r="GYV38" s="704"/>
      <c r="GYW38" s="704"/>
      <c r="GYX38" s="704"/>
      <c r="GYY38" s="704"/>
      <c r="GYZ38" s="704"/>
      <c r="GZA38" s="704"/>
      <c r="GZB38" s="704"/>
      <c r="GZC38" s="704"/>
      <c r="GZD38" s="704"/>
      <c r="GZE38" s="704"/>
      <c r="GZF38" s="704"/>
      <c r="GZG38" s="704"/>
      <c r="GZH38" s="704"/>
      <c r="GZI38" s="704"/>
      <c r="GZJ38" s="704"/>
      <c r="GZK38" s="704"/>
      <c r="GZL38" s="704"/>
      <c r="GZM38" s="704"/>
      <c r="GZN38" s="704"/>
      <c r="GZO38" s="704"/>
      <c r="GZP38" s="704"/>
      <c r="GZQ38" s="704"/>
      <c r="GZR38" s="704"/>
      <c r="GZS38" s="704"/>
      <c r="GZT38" s="704"/>
      <c r="GZU38" s="704"/>
      <c r="GZV38" s="704"/>
      <c r="GZW38" s="704"/>
      <c r="GZX38" s="704"/>
      <c r="GZY38" s="704"/>
      <c r="GZZ38" s="704"/>
      <c r="HAA38" s="704"/>
      <c r="HAB38" s="704"/>
      <c r="HAC38" s="704"/>
      <c r="HAD38" s="704"/>
      <c r="HAE38" s="704"/>
      <c r="HAF38" s="704"/>
      <c r="HAG38" s="704"/>
      <c r="HAH38" s="704"/>
      <c r="HAI38" s="704"/>
      <c r="HAJ38" s="704"/>
      <c r="HAK38" s="704"/>
      <c r="HAL38" s="704"/>
      <c r="HAM38" s="704"/>
      <c r="HAN38" s="704"/>
      <c r="HAO38" s="704"/>
      <c r="HAP38" s="704"/>
      <c r="HAQ38" s="704"/>
      <c r="HAR38" s="704"/>
      <c r="HAS38" s="704"/>
      <c r="HAT38" s="704"/>
      <c r="HAU38" s="704"/>
      <c r="HAV38" s="704"/>
      <c r="HAW38" s="704"/>
      <c r="HAX38" s="704"/>
      <c r="HAY38" s="704"/>
      <c r="HAZ38" s="704"/>
      <c r="HBA38" s="704"/>
      <c r="HBB38" s="704"/>
      <c r="HBC38" s="704"/>
      <c r="HBD38" s="704"/>
      <c r="HBE38" s="704"/>
      <c r="HBF38" s="704"/>
      <c r="HBG38" s="704"/>
      <c r="HBH38" s="704"/>
      <c r="HBI38" s="704"/>
      <c r="HBJ38" s="704"/>
      <c r="HBK38" s="704"/>
      <c r="HBL38" s="704"/>
      <c r="HBM38" s="704"/>
      <c r="HBN38" s="704"/>
      <c r="HBO38" s="704"/>
      <c r="HBP38" s="704"/>
      <c r="HBQ38" s="704"/>
      <c r="HBR38" s="704"/>
      <c r="HBS38" s="704"/>
      <c r="HBT38" s="704"/>
      <c r="HBU38" s="704"/>
      <c r="HBV38" s="704"/>
      <c r="HBW38" s="704"/>
      <c r="HBX38" s="704"/>
      <c r="HBY38" s="704"/>
      <c r="HBZ38" s="704"/>
      <c r="HCA38" s="704"/>
      <c r="HCB38" s="704"/>
      <c r="HCC38" s="704"/>
      <c r="HCD38" s="704"/>
      <c r="HCE38" s="704"/>
      <c r="HCF38" s="704"/>
      <c r="HCG38" s="704"/>
      <c r="HCH38" s="704"/>
      <c r="HCI38" s="704"/>
      <c r="HCJ38" s="704"/>
      <c r="HCK38" s="704"/>
      <c r="HCL38" s="704"/>
      <c r="HCM38" s="704"/>
      <c r="HCN38" s="704"/>
      <c r="HCO38" s="704"/>
      <c r="HCP38" s="704"/>
      <c r="HCQ38" s="704"/>
      <c r="HCR38" s="704"/>
      <c r="HCS38" s="704"/>
      <c r="HCT38" s="704"/>
      <c r="HCU38" s="704"/>
      <c r="HCV38" s="704"/>
      <c r="HCW38" s="704"/>
      <c r="HCX38" s="704"/>
      <c r="HCY38" s="704"/>
      <c r="HCZ38" s="704"/>
      <c r="HDA38" s="704"/>
      <c r="HDB38" s="704"/>
      <c r="HDC38" s="704"/>
      <c r="HDD38" s="704"/>
      <c r="HDE38" s="704"/>
      <c r="HDF38" s="704"/>
      <c r="HDG38" s="704"/>
      <c r="HDH38" s="704"/>
      <c r="HDI38" s="704"/>
      <c r="HDJ38" s="704"/>
      <c r="HDK38" s="704"/>
      <c r="HDL38" s="704"/>
      <c r="HDM38" s="704"/>
      <c r="HDN38" s="704"/>
      <c r="HDO38" s="704"/>
      <c r="HDP38" s="704"/>
      <c r="HDQ38" s="704"/>
      <c r="HDR38" s="704"/>
      <c r="HDS38" s="704"/>
      <c r="HDT38" s="704"/>
      <c r="HDU38" s="704"/>
      <c r="HDV38" s="704"/>
      <c r="HDW38" s="704"/>
      <c r="HDX38" s="704"/>
      <c r="HDY38" s="704"/>
      <c r="HDZ38" s="704"/>
      <c r="HEA38" s="704"/>
      <c r="HEB38" s="704"/>
      <c r="HEC38" s="704"/>
      <c r="HED38" s="704"/>
      <c r="HEE38" s="704"/>
      <c r="HEF38" s="704"/>
      <c r="HEG38" s="704"/>
      <c r="HEH38" s="704"/>
      <c r="HEI38" s="704"/>
      <c r="HEJ38" s="704"/>
      <c r="HEK38" s="704"/>
      <c r="HEL38" s="704"/>
      <c r="HEM38" s="704"/>
      <c r="HEN38" s="704"/>
      <c r="HEO38" s="704"/>
      <c r="HEP38" s="704"/>
      <c r="HEQ38" s="704"/>
      <c r="HER38" s="704"/>
      <c r="HES38" s="704"/>
      <c r="HET38" s="704"/>
      <c r="HEU38" s="704"/>
      <c r="HEV38" s="704"/>
      <c r="HEW38" s="704"/>
      <c r="HEX38" s="704"/>
      <c r="HEY38" s="704"/>
      <c r="HEZ38" s="704"/>
      <c r="HFA38" s="704"/>
      <c r="HFB38" s="704"/>
      <c r="HFC38" s="704"/>
      <c r="HFD38" s="704"/>
      <c r="HFE38" s="704"/>
      <c r="HFF38" s="704"/>
      <c r="HFG38" s="704"/>
      <c r="HFH38" s="704"/>
      <c r="HFI38" s="704"/>
      <c r="HFJ38" s="704"/>
      <c r="HFK38" s="704"/>
      <c r="HFL38" s="704"/>
      <c r="HFM38" s="704"/>
      <c r="HFN38" s="704"/>
      <c r="HFO38" s="704"/>
      <c r="HFP38" s="704"/>
      <c r="HFQ38" s="704"/>
      <c r="HFR38" s="704"/>
      <c r="HFS38" s="704"/>
      <c r="HFT38" s="704"/>
      <c r="HFU38" s="704"/>
      <c r="HFV38" s="704"/>
      <c r="HFW38" s="704"/>
      <c r="HFX38" s="704"/>
      <c r="HFY38" s="704"/>
      <c r="HFZ38" s="704"/>
      <c r="HGA38" s="704"/>
      <c r="HGB38" s="704"/>
      <c r="HGC38" s="704"/>
      <c r="HGD38" s="704"/>
      <c r="HGE38" s="704"/>
      <c r="HGF38" s="704"/>
      <c r="HGG38" s="704"/>
      <c r="HGH38" s="704"/>
      <c r="HGI38" s="704"/>
      <c r="HGJ38" s="704"/>
      <c r="HGK38" s="704"/>
      <c r="HGL38" s="704"/>
      <c r="HGM38" s="704"/>
      <c r="HGN38" s="704"/>
      <c r="HGO38" s="704"/>
      <c r="HGP38" s="704"/>
      <c r="HGQ38" s="704"/>
      <c r="HGR38" s="704"/>
      <c r="HGS38" s="704"/>
      <c r="HGT38" s="704"/>
      <c r="HGU38" s="704"/>
      <c r="HGV38" s="704"/>
      <c r="HGW38" s="704"/>
      <c r="HGX38" s="704"/>
      <c r="HGY38" s="704"/>
      <c r="HGZ38" s="704"/>
      <c r="HHA38" s="704"/>
      <c r="HHB38" s="704"/>
      <c r="HHC38" s="704"/>
      <c r="HHD38" s="704"/>
      <c r="HHE38" s="704"/>
      <c r="HHF38" s="704"/>
      <c r="HHG38" s="704"/>
      <c r="HHH38" s="704"/>
      <c r="HHI38" s="704"/>
      <c r="HHJ38" s="704"/>
      <c r="HHK38" s="704"/>
      <c r="HHL38" s="704"/>
      <c r="HHM38" s="704"/>
      <c r="HHN38" s="704"/>
      <c r="HHO38" s="704"/>
      <c r="HHP38" s="704"/>
      <c r="HHQ38" s="704"/>
      <c r="HHR38" s="704"/>
      <c r="HHS38" s="704"/>
      <c r="HHT38" s="704"/>
      <c r="HHU38" s="704"/>
      <c r="HHV38" s="704"/>
      <c r="HHW38" s="704"/>
      <c r="HHX38" s="704"/>
      <c r="HHY38" s="704"/>
      <c r="HHZ38" s="704"/>
      <c r="HIA38" s="704"/>
      <c r="HIB38" s="704"/>
      <c r="HIC38" s="704"/>
      <c r="HID38" s="704"/>
      <c r="HIE38" s="704"/>
      <c r="HIF38" s="704"/>
      <c r="HIG38" s="704"/>
      <c r="HIH38" s="704"/>
      <c r="HII38" s="704"/>
      <c r="HIJ38" s="704"/>
      <c r="HIK38" s="704"/>
      <c r="HIL38" s="704"/>
      <c r="HIM38" s="704"/>
      <c r="HIN38" s="704"/>
      <c r="HIO38" s="704"/>
      <c r="HIP38" s="704"/>
      <c r="HIQ38" s="704"/>
      <c r="HIR38" s="704"/>
      <c r="HIS38" s="704"/>
      <c r="HIT38" s="704"/>
      <c r="HIU38" s="704"/>
      <c r="HIV38" s="704"/>
      <c r="HIW38" s="704"/>
      <c r="HIX38" s="704"/>
      <c r="HIY38" s="704"/>
      <c r="HIZ38" s="704"/>
      <c r="HJA38" s="704"/>
      <c r="HJB38" s="704"/>
      <c r="HJC38" s="704"/>
      <c r="HJD38" s="704"/>
      <c r="HJE38" s="704"/>
      <c r="HJF38" s="704"/>
      <c r="HJG38" s="704"/>
      <c r="HJH38" s="704"/>
      <c r="HJI38" s="704"/>
      <c r="HJJ38" s="704"/>
      <c r="HJK38" s="704"/>
      <c r="HJL38" s="704"/>
      <c r="HJM38" s="704"/>
      <c r="HJN38" s="704"/>
      <c r="HJO38" s="704"/>
      <c r="HJP38" s="704"/>
      <c r="HJQ38" s="704"/>
      <c r="HJR38" s="704"/>
      <c r="HJS38" s="704"/>
      <c r="HJT38" s="704"/>
      <c r="HJU38" s="704"/>
      <c r="HJV38" s="704"/>
      <c r="HJW38" s="704"/>
      <c r="HJX38" s="704"/>
      <c r="HJY38" s="704"/>
      <c r="HJZ38" s="704"/>
      <c r="HKA38" s="704"/>
      <c r="HKB38" s="704"/>
      <c r="HKC38" s="704"/>
      <c r="HKD38" s="704"/>
      <c r="HKE38" s="704"/>
      <c r="HKF38" s="704"/>
      <c r="HKG38" s="704"/>
      <c r="HKH38" s="704"/>
      <c r="HKI38" s="704"/>
      <c r="HKJ38" s="704"/>
      <c r="HKK38" s="704"/>
      <c r="HKL38" s="704"/>
      <c r="HKM38" s="704"/>
      <c r="HKN38" s="704"/>
      <c r="HKO38" s="704"/>
      <c r="HKP38" s="704"/>
      <c r="HKQ38" s="704"/>
      <c r="HKR38" s="704"/>
      <c r="HKS38" s="704"/>
      <c r="HKT38" s="704"/>
      <c r="HKU38" s="704"/>
      <c r="HKV38" s="704"/>
      <c r="HKW38" s="704"/>
      <c r="HKX38" s="704"/>
      <c r="HKY38" s="704"/>
      <c r="HKZ38" s="704"/>
      <c r="HLA38" s="704"/>
      <c r="HLB38" s="704"/>
      <c r="HLC38" s="704"/>
      <c r="HLD38" s="704"/>
      <c r="HLE38" s="704"/>
      <c r="HLF38" s="704"/>
      <c r="HLG38" s="704"/>
      <c r="HLH38" s="704"/>
      <c r="HLI38" s="704"/>
      <c r="HLJ38" s="704"/>
      <c r="HLK38" s="704"/>
      <c r="HLL38" s="704"/>
      <c r="HLM38" s="704"/>
      <c r="HLN38" s="704"/>
      <c r="HLO38" s="704"/>
      <c r="HLP38" s="704"/>
      <c r="HLQ38" s="704"/>
      <c r="HLR38" s="704"/>
      <c r="HLS38" s="704"/>
      <c r="HLT38" s="704"/>
      <c r="HLU38" s="704"/>
      <c r="HLV38" s="704"/>
      <c r="HLW38" s="704"/>
      <c r="HLX38" s="704"/>
      <c r="HLY38" s="704"/>
      <c r="HLZ38" s="704"/>
      <c r="HMA38" s="704"/>
      <c r="HMB38" s="704"/>
      <c r="HMC38" s="704"/>
      <c r="HMD38" s="704"/>
      <c r="HME38" s="704"/>
      <c r="HMF38" s="704"/>
      <c r="HMG38" s="704"/>
      <c r="HMH38" s="704"/>
      <c r="HMI38" s="704"/>
      <c r="HMJ38" s="704"/>
      <c r="HMK38" s="704"/>
      <c r="HML38" s="704"/>
      <c r="HMM38" s="704"/>
      <c r="HMN38" s="704"/>
      <c r="HMO38" s="704"/>
      <c r="HMP38" s="704"/>
      <c r="HMQ38" s="704"/>
      <c r="HMR38" s="704"/>
      <c r="HMS38" s="704"/>
      <c r="HMT38" s="704"/>
      <c r="HMU38" s="704"/>
      <c r="HMV38" s="704"/>
      <c r="HMW38" s="704"/>
      <c r="HMX38" s="704"/>
      <c r="HMY38" s="704"/>
      <c r="HMZ38" s="704"/>
      <c r="HNA38" s="704"/>
      <c r="HNB38" s="704"/>
      <c r="HNC38" s="704"/>
      <c r="HND38" s="704"/>
      <c r="HNE38" s="704"/>
      <c r="HNF38" s="704"/>
      <c r="HNG38" s="704"/>
      <c r="HNH38" s="704"/>
      <c r="HNI38" s="704"/>
      <c r="HNJ38" s="704"/>
      <c r="HNK38" s="704"/>
      <c r="HNL38" s="704"/>
      <c r="HNM38" s="704"/>
      <c r="HNN38" s="704"/>
      <c r="HNO38" s="704"/>
      <c r="HNP38" s="704"/>
      <c r="HNQ38" s="704"/>
      <c r="HNR38" s="704"/>
      <c r="HNS38" s="704"/>
      <c r="HNT38" s="704"/>
      <c r="HNU38" s="704"/>
      <c r="HNV38" s="704"/>
      <c r="HNW38" s="704"/>
      <c r="HNX38" s="704"/>
      <c r="HNY38" s="704"/>
      <c r="HNZ38" s="704"/>
      <c r="HOA38" s="704"/>
      <c r="HOB38" s="704"/>
      <c r="HOC38" s="704"/>
      <c r="HOD38" s="704"/>
      <c r="HOE38" s="704"/>
      <c r="HOF38" s="704"/>
      <c r="HOG38" s="704"/>
      <c r="HOH38" s="704"/>
      <c r="HOI38" s="704"/>
      <c r="HOJ38" s="704"/>
      <c r="HOK38" s="704"/>
      <c r="HOL38" s="704"/>
      <c r="HOM38" s="704"/>
      <c r="HON38" s="704"/>
      <c r="HOO38" s="704"/>
      <c r="HOP38" s="704"/>
      <c r="HOQ38" s="704"/>
      <c r="HOR38" s="704"/>
      <c r="HOS38" s="704"/>
      <c r="HOT38" s="704"/>
      <c r="HOU38" s="704"/>
      <c r="HOV38" s="704"/>
      <c r="HOW38" s="704"/>
      <c r="HOX38" s="704"/>
      <c r="HOY38" s="704"/>
      <c r="HOZ38" s="704"/>
      <c r="HPA38" s="704"/>
      <c r="HPB38" s="704"/>
      <c r="HPC38" s="704"/>
      <c r="HPD38" s="704"/>
      <c r="HPE38" s="704"/>
      <c r="HPF38" s="704"/>
      <c r="HPG38" s="704"/>
      <c r="HPH38" s="704"/>
      <c r="HPI38" s="704"/>
      <c r="HPJ38" s="704"/>
      <c r="HPK38" s="704"/>
      <c r="HPL38" s="704"/>
      <c r="HPM38" s="704"/>
      <c r="HPN38" s="704"/>
      <c r="HPO38" s="704"/>
      <c r="HPP38" s="704"/>
      <c r="HPQ38" s="704"/>
      <c r="HPR38" s="704"/>
      <c r="HPS38" s="704"/>
      <c r="HPT38" s="704"/>
      <c r="HPU38" s="704"/>
      <c r="HPV38" s="704"/>
      <c r="HPW38" s="704"/>
      <c r="HPX38" s="704"/>
      <c r="HPY38" s="704"/>
      <c r="HPZ38" s="704"/>
      <c r="HQA38" s="704"/>
      <c r="HQB38" s="704"/>
      <c r="HQC38" s="704"/>
      <c r="HQD38" s="704"/>
      <c r="HQE38" s="704"/>
      <c r="HQF38" s="704"/>
      <c r="HQG38" s="704"/>
      <c r="HQH38" s="704"/>
      <c r="HQI38" s="704"/>
      <c r="HQJ38" s="704"/>
      <c r="HQK38" s="704"/>
      <c r="HQL38" s="704"/>
      <c r="HQM38" s="704"/>
      <c r="HQN38" s="704"/>
      <c r="HQO38" s="704"/>
      <c r="HQP38" s="704"/>
      <c r="HQQ38" s="704"/>
      <c r="HQR38" s="704"/>
      <c r="HQS38" s="704"/>
      <c r="HQT38" s="704"/>
      <c r="HQU38" s="704"/>
      <c r="HQV38" s="704"/>
      <c r="HQW38" s="704"/>
      <c r="HQX38" s="704"/>
      <c r="HQY38" s="704"/>
      <c r="HQZ38" s="704"/>
      <c r="HRA38" s="704"/>
      <c r="HRB38" s="704"/>
      <c r="HRC38" s="704"/>
      <c r="HRD38" s="704"/>
      <c r="HRE38" s="704"/>
      <c r="HRF38" s="704"/>
      <c r="HRG38" s="704"/>
      <c r="HRH38" s="704"/>
      <c r="HRI38" s="704"/>
      <c r="HRJ38" s="704"/>
      <c r="HRK38" s="704"/>
      <c r="HRL38" s="704"/>
      <c r="HRM38" s="704"/>
      <c r="HRN38" s="704"/>
      <c r="HRO38" s="704"/>
      <c r="HRP38" s="704"/>
      <c r="HRQ38" s="704"/>
      <c r="HRR38" s="704"/>
      <c r="HRS38" s="704"/>
      <c r="HRT38" s="704"/>
      <c r="HRU38" s="704"/>
      <c r="HRV38" s="704"/>
      <c r="HRW38" s="704"/>
      <c r="HRX38" s="704"/>
      <c r="HRY38" s="704"/>
      <c r="HRZ38" s="704"/>
      <c r="HSA38" s="704"/>
      <c r="HSB38" s="704"/>
      <c r="HSC38" s="704"/>
      <c r="HSD38" s="704"/>
      <c r="HSE38" s="704"/>
      <c r="HSF38" s="704"/>
      <c r="HSG38" s="704"/>
      <c r="HSH38" s="704"/>
      <c r="HSI38" s="704"/>
      <c r="HSJ38" s="704"/>
      <c r="HSK38" s="704"/>
      <c r="HSL38" s="704"/>
      <c r="HSM38" s="704"/>
      <c r="HSN38" s="704"/>
      <c r="HSO38" s="704"/>
      <c r="HSP38" s="704"/>
      <c r="HSQ38" s="704"/>
      <c r="HSR38" s="704"/>
      <c r="HSS38" s="704"/>
      <c r="HST38" s="704"/>
      <c r="HSU38" s="704"/>
      <c r="HSV38" s="704"/>
      <c r="HSW38" s="704"/>
      <c r="HSX38" s="704"/>
      <c r="HSY38" s="704"/>
      <c r="HSZ38" s="704"/>
      <c r="HTA38" s="704"/>
      <c r="HTB38" s="704"/>
      <c r="HTC38" s="704"/>
      <c r="HTD38" s="704"/>
      <c r="HTE38" s="704"/>
      <c r="HTF38" s="704"/>
      <c r="HTG38" s="704"/>
      <c r="HTH38" s="704"/>
      <c r="HTI38" s="704"/>
      <c r="HTJ38" s="704"/>
      <c r="HTK38" s="704"/>
      <c r="HTL38" s="704"/>
      <c r="HTM38" s="704"/>
      <c r="HTN38" s="704"/>
      <c r="HTO38" s="704"/>
      <c r="HTP38" s="704"/>
      <c r="HTQ38" s="704"/>
      <c r="HTR38" s="704"/>
      <c r="HTS38" s="704"/>
      <c r="HTT38" s="704"/>
      <c r="HTU38" s="704"/>
      <c r="HTV38" s="704"/>
      <c r="HTW38" s="704"/>
      <c r="HTX38" s="704"/>
      <c r="HTY38" s="704"/>
      <c r="HTZ38" s="704"/>
      <c r="HUA38" s="704"/>
      <c r="HUB38" s="704"/>
      <c r="HUC38" s="704"/>
      <c r="HUD38" s="704"/>
      <c r="HUE38" s="704"/>
      <c r="HUF38" s="704"/>
      <c r="HUG38" s="704"/>
      <c r="HUH38" s="704"/>
      <c r="HUI38" s="704"/>
      <c r="HUJ38" s="704"/>
      <c r="HUK38" s="704"/>
      <c r="HUL38" s="704"/>
      <c r="HUM38" s="704"/>
      <c r="HUN38" s="704"/>
      <c r="HUO38" s="704"/>
      <c r="HUP38" s="704"/>
      <c r="HUQ38" s="704"/>
      <c r="HUR38" s="704"/>
      <c r="HUS38" s="704"/>
      <c r="HUT38" s="704"/>
      <c r="HUU38" s="704"/>
      <c r="HUV38" s="704"/>
      <c r="HUW38" s="704"/>
      <c r="HUX38" s="704"/>
      <c r="HUY38" s="704"/>
      <c r="HUZ38" s="704"/>
      <c r="HVA38" s="704"/>
      <c r="HVB38" s="704"/>
      <c r="HVC38" s="704"/>
      <c r="HVD38" s="704"/>
      <c r="HVE38" s="704"/>
      <c r="HVF38" s="704"/>
      <c r="HVG38" s="704"/>
      <c r="HVH38" s="704"/>
      <c r="HVI38" s="704"/>
      <c r="HVJ38" s="704"/>
      <c r="HVK38" s="704"/>
      <c r="HVL38" s="704"/>
      <c r="HVM38" s="704"/>
      <c r="HVN38" s="704"/>
      <c r="HVO38" s="704"/>
      <c r="HVP38" s="704"/>
      <c r="HVQ38" s="704"/>
      <c r="HVR38" s="704"/>
      <c r="HVS38" s="704"/>
      <c r="HVT38" s="704"/>
      <c r="HVU38" s="704"/>
      <c r="HVV38" s="704"/>
      <c r="HVW38" s="704"/>
      <c r="HVX38" s="704"/>
      <c r="HVY38" s="704"/>
      <c r="HVZ38" s="704"/>
      <c r="HWA38" s="704"/>
      <c r="HWB38" s="704"/>
      <c r="HWC38" s="704"/>
      <c r="HWD38" s="704"/>
      <c r="HWE38" s="704"/>
      <c r="HWF38" s="704"/>
      <c r="HWG38" s="704"/>
      <c r="HWH38" s="704"/>
      <c r="HWI38" s="704"/>
      <c r="HWJ38" s="704"/>
      <c r="HWK38" s="704"/>
      <c r="HWL38" s="704"/>
      <c r="HWM38" s="704"/>
      <c r="HWN38" s="704"/>
      <c r="HWO38" s="704"/>
      <c r="HWP38" s="704"/>
      <c r="HWQ38" s="704"/>
      <c r="HWR38" s="704"/>
      <c r="HWS38" s="704"/>
      <c r="HWT38" s="704"/>
      <c r="HWU38" s="704"/>
      <c r="HWV38" s="704"/>
      <c r="HWW38" s="704"/>
      <c r="HWX38" s="704"/>
      <c r="HWY38" s="704"/>
      <c r="HWZ38" s="704"/>
      <c r="HXA38" s="704"/>
      <c r="HXB38" s="704"/>
      <c r="HXC38" s="704"/>
      <c r="HXD38" s="704"/>
      <c r="HXE38" s="704"/>
      <c r="HXF38" s="704"/>
      <c r="HXG38" s="704"/>
      <c r="HXH38" s="704"/>
      <c r="HXI38" s="704"/>
      <c r="HXJ38" s="704"/>
      <c r="HXK38" s="704"/>
      <c r="HXL38" s="704"/>
      <c r="HXM38" s="704"/>
      <c r="HXN38" s="704"/>
      <c r="HXO38" s="704"/>
      <c r="HXP38" s="704"/>
      <c r="HXQ38" s="704"/>
      <c r="HXR38" s="704"/>
      <c r="HXS38" s="704"/>
      <c r="HXT38" s="704"/>
      <c r="HXU38" s="704"/>
      <c r="HXV38" s="704"/>
      <c r="HXW38" s="704"/>
      <c r="HXX38" s="704"/>
      <c r="HXY38" s="704"/>
      <c r="HXZ38" s="704"/>
      <c r="HYA38" s="704"/>
      <c r="HYB38" s="704"/>
      <c r="HYC38" s="704"/>
      <c r="HYD38" s="704"/>
      <c r="HYE38" s="704"/>
      <c r="HYF38" s="704"/>
      <c r="HYG38" s="704"/>
      <c r="HYH38" s="704"/>
      <c r="HYI38" s="704"/>
      <c r="HYJ38" s="704"/>
      <c r="HYK38" s="704"/>
      <c r="HYL38" s="704"/>
      <c r="HYM38" s="704"/>
      <c r="HYN38" s="704"/>
      <c r="HYO38" s="704"/>
      <c r="HYP38" s="704"/>
      <c r="HYQ38" s="704"/>
      <c r="HYR38" s="704"/>
      <c r="HYS38" s="704"/>
      <c r="HYT38" s="704"/>
      <c r="HYU38" s="704"/>
      <c r="HYV38" s="704"/>
      <c r="HYW38" s="704"/>
      <c r="HYX38" s="704"/>
      <c r="HYY38" s="704"/>
      <c r="HYZ38" s="704"/>
      <c r="HZA38" s="704"/>
      <c r="HZB38" s="704"/>
      <c r="HZC38" s="704"/>
      <c r="HZD38" s="704"/>
      <c r="HZE38" s="704"/>
      <c r="HZF38" s="704"/>
      <c r="HZG38" s="704"/>
      <c r="HZH38" s="704"/>
      <c r="HZI38" s="704"/>
      <c r="HZJ38" s="704"/>
      <c r="HZK38" s="704"/>
      <c r="HZL38" s="704"/>
      <c r="HZM38" s="704"/>
      <c r="HZN38" s="704"/>
      <c r="HZO38" s="704"/>
      <c r="HZP38" s="704"/>
      <c r="HZQ38" s="704"/>
      <c r="HZR38" s="704"/>
      <c r="HZS38" s="704"/>
      <c r="HZT38" s="704"/>
      <c r="HZU38" s="704"/>
      <c r="HZV38" s="704"/>
      <c r="HZW38" s="704"/>
      <c r="HZX38" s="704"/>
      <c r="HZY38" s="704"/>
      <c r="HZZ38" s="704"/>
      <c r="IAA38" s="704"/>
      <c r="IAB38" s="704"/>
      <c r="IAC38" s="704"/>
      <c r="IAD38" s="704"/>
      <c r="IAE38" s="704"/>
      <c r="IAF38" s="704"/>
      <c r="IAG38" s="704"/>
      <c r="IAH38" s="704"/>
      <c r="IAI38" s="704"/>
      <c r="IAJ38" s="704"/>
      <c r="IAK38" s="704"/>
      <c r="IAL38" s="704"/>
      <c r="IAM38" s="704"/>
      <c r="IAN38" s="704"/>
      <c r="IAO38" s="704"/>
      <c r="IAP38" s="704"/>
      <c r="IAQ38" s="704"/>
      <c r="IAR38" s="704"/>
      <c r="IAS38" s="704"/>
      <c r="IAT38" s="704"/>
      <c r="IAU38" s="704"/>
      <c r="IAV38" s="704"/>
      <c r="IAW38" s="704"/>
      <c r="IAX38" s="704"/>
      <c r="IAY38" s="704"/>
      <c r="IAZ38" s="704"/>
      <c r="IBA38" s="704"/>
      <c r="IBB38" s="704"/>
      <c r="IBC38" s="704"/>
      <c r="IBD38" s="704"/>
      <c r="IBE38" s="704"/>
      <c r="IBF38" s="704"/>
      <c r="IBG38" s="704"/>
      <c r="IBH38" s="704"/>
      <c r="IBI38" s="704"/>
      <c r="IBJ38" s="704"/>
      <c r="IBK38" s="704"/>
      <c r="IBL38" s="704"/>
      <c r="IBM38" s="704"/>
      <c r="IBN38" s="704"/>
      <c r="IBO38" s="704"/>
      <c r="IBP38" s="704"/>
      <c r="IBQ38" s="704"/>
      <c r="IBR38" s="704"/>
      <c r="IBS38" s="704"/>
      <c r="IBT38" s="704"/>
      <c r="IBU38" s="704"/>
      <c r="IBV38" s="704"/>
      <c r="IBW38" s="704"/>
      <c r="IBX38" s="704"/>
      <c r="IBY38" s="704"/>
      <c r="IBZ38" s="704"/>
      <c r="ICA38" s="704"/>
      <c r="ICB38" s="704"/>
      <c r="ICC38" s="704"/>
      <c r="ICD38" s="704"/>
      <c r="ICE38" s="704"/>
      <c r="ICF38" s="704"/>
      <c r="ICG38" s="704"/>
      <c r="ICH38" s="704"/>
      <c r="ICI38" s="704"/>
      <c r="ICJ38" s="704"/>
      <c r="ICK38" s="704"/>
      <c r="ICL38" s="704"/>
      <c r="ICM38" s="704"/>
      <c r="ICN38" s="704"/>
      <c r="ICO38" s="704"/>
      <c r="ICP38" s="704"/>
      <c r="ICQ38" s="704"/>
      <c r="ICR38" s="704"/>
      <c r="ICS38" s="704"/>
      <c r="ICT38" s="704"/>
      <c r="ICU38" s="704"/>
      <c r="ICV38" s="704"/>
      <c r="ICW38" s="704"/>
      <c r="ICX38" s="704"/>
      <c r="ICY38" s="704"/>
      <c r="ICZ38" s="704"/>
      <c r="IDA38" s="704"/>
      <c r="IDB38" s="704"/>
      <c r="IDC38" s="704"/>
      <c r="IDD38" s="704"/>
      <c r="IDE38" s="704"/>
      <c r="IDF38" s="704"/>
      <c r="IDG38" s="704"/>
      <c r="IDH38" s="704"/>
      <c r="IDI38" s="704"/>
      <c r="IDJ38" s="704"/>
      <c r="IDK38" s="704"/>
      <c r="IDL38" s="704"/>
      <c r="IDM38" s="704"/>
      <c r="IDN38" s="704"/>
      <c r="IDO38" s="704"/>
      <c r="IDP38" s="704"/>
      <c r="IDQ38" s="704"/>
      <c r="IDR38" s="704"/>
      <c r="IDS38" s="704"/>
      <c r="IDT38" s="704"/>
      <c r="IDU38" s="704"/>
      <c r="IDV38" s="704"/>
      <c r="IDW38" s="704"/>
      <c r="IDX38" s="704"/>
      <c r="IDY38" s="704"/>
      <c r="IDZ38" s="704"/>
      <c r="IEA38" s="704"/>
      <c r="IEB38" s="704"/>
      <c r="IEC38" s="704"/>
      <c r="IED38" s="704"/>
      <c r="IEE38" s="704"/>
      <c r="IEF38" s="704"/>
      <c r="IEG38" s="704"/>
      <c r="IEH38" s="704"/>
      <c r="IEI38" s="704"/>
      <c r="IEJ38" s="704"/>
      <c r="IEK38" s="704"/>
      <c r="IEL38" s="704"/>
      <c r="IEM38" s="704"/>
      <c r="IEN38" s="704"/>
      <c r="IEO38" s="704"/>
      <c r="IEP38" s="704"/>
      <c r="IEQ38" s="704"/>
      <c r="IER38" s="704"/>
      <c r="IES38" s="704"/>
      <c r="IET38" s="704"/>
      <c r="IEU38" s="704"/>
      <c r="IEV38" s="704"/>
      <c r="IEW38" s="704"/>
      <c r="IEX38" s="704"/>
      <c r="IEY38" s="704"/>
      <c r="IEZ38" s="704"/>
      <c r="IFA38" s="704"/>
      <c r="IFB38" s="704"/>
      <c r="IFC38" s="704"/>
      <c r="IFD38" s="704"/>
      <c r="IFE38" s="704"/>
      <c r="IFF38" s="704"/>
      <c r="IFG38" s="704"/>
      <c r="IFH38" s="704"/>
      <c r="IFI38" s="704"/>
      <c r="IFJ38" s="704"/>
      <c r="IFK38" s="704"/>
      <c r="IFL38" s="704"/>
      <c r="IFM38" s="704"/>
      <c r="IFN38" s="704"/>
      <c r="IFO38" s="704"/>
      <c r="IFP38" s="704"/>
      <c r="IFQ38" s="704"/>
      <c r="IFR38" s="704"/>
      <c r="IFS38" s="704"/>
      <c r="IFT38" s="704"/>
      <c r="IFU38" s="704"/>
      <c r="IFV38" s="704"/>
      <c r="IFW38" s="704"/>
      <c r="IFX38" s="704"/>
      <c r="IFY38" s="704"/>
      <c r="IFZ38" s="704"/>
      <c r="IGA38" s="704"/>
      <c r="IGB38" s="704"/>
      <c r="IGC38" s="704"/>
      <c r="IGD38" s="704"/>
      <c r="IGE38" s="704"/>
      <c r="IGF38" s="704"/>
      <c r="IGG38" s="704"/>
      <c r="IGH38" s="704"/>
      <c r="IGI38" s="704"/>
      <c r="IGJ38" s="704"/>
      <c r="IGK38" s="704"/>
      <c r="IGL38" s="704"/>
      <c r="IGM38" s="704"/>
      <c r="IGN38" s="704"/>
      <c r="IGO38" s="704"/>
      <c r="IGP38" s="704"/>
      <c r="IGQ38" s="704"/>
      <c r="IGR38" s="704"/>
      <c r="IGS38" s="704"/>
      <c r="IGT38" s="704"/>
      <c r="IGU38" s="704"/>
      <c r="IGV38" s="704"/>
      <c r="IGW38" s="704"/>
      <c r="IGX38" s="704"/>
      <c r="IGY38" s="704"/>
      <c r="IGZ38" s="704"/>
      <c r="IHA38" s="704"/>
      <c r="IHB38" s="704"/>
      <c r="IHC38" s="704"/>
      <c r="IHD38" s="704"/>
      <c r="IHE38" s="704"/>
      <c r="IHF38" s="704"/>
      <c r="IHG38" s="704"/>
      <c r="IHH38" s="704"/>
      <c r="IHI38" s="704"/>
      <c r="IHJ38" s="704"/>
      <c r="IHK38" s="704"/>
      <c r="IHL38" s="704"/>
      <c r="IHM38" s="704"/>
      <c r="IHN38" s="704"/>
      <c r="IHO38" s="704"/>
      <c r="IHP38" s="704"/>
      <c r="IHQ38" s="704"/>
      <c r="IHR38" s="704"/>
      <c r="IHS38" s="704"/>
      <c r="IHT38" s="704"/>
      <c r="IHU38" s="704"/>
      <c r="IHV38" s="704"/>
      <c r="IHW38" s="704"/>
      <c r="IHX38" s="704"/>
      <c r="IHY38" s="704"/>
      <c r="IHZ38" s="704"/>
      <c r="IIA38" s="704"/>
      <c r="IIB38" s="704"/>
      <c r="IIC38" s="704"/>
      <c r="IID38" s="704"/>
      <c r="IIE38" s="704"/>
      <c r="IIF38" s="704"/>
      <c r="IIG38" s="704"/>
      <c r="IIH38" s="704"/>
      <c r="III38" s="704"/>
      <c r="IIJ38" s="704"/>
      <c r="IIK38" s="704"/>
      <c r="IIL38" s="704"/>
      <c r="IIM38" s="704"/>
      <c r="IIN38" s="704"/>
      <c r="IIO38" s="704"/>
      <c r="IIP38" s="704"/>
      <c r="IIQ38" s="704"/>
      <c r="IIR38" s="704"/>
      <c r="IIS38" s="704"/>
      <c r="IIT38" s="704"/>
      <c r="IIU38" s="704"/>
      <c r="IIV38" s="704"/>
      <c r="IIW38" s="704"/>
      <c r="IIX38" s="704"/>
      <c r="IIY38" s="704"/>
      <c r="IIZ38" s="704"/>
      <c r="IJA38" s="704"/>
      <c r="IJB38" s="704"/>
      <c r="IJC38" s="704"/>
      <c r="IJD38" s="704"/>
      <c r="IJE38" s="704"/>
      <c r="IJF38" s="704"/>
      <c r="IJG38" s="704"/>
      <c r="IJH38" s="704"/>
      <c r="IJI38" s="704"/>
      <c r="IJJ38" s="704"/>
      <c r="IJK38" s="704"/>
      <c r="IJL38" s="704"/>
      <c r="IJM38" s="704"/>
      <c r="IJN38" s="704"/>
      <c r="IJO38" s="704"/>
      <c r="IJP38" s="704"/>
      <c r="IJQ38" s="704"/>
      <c r="IJR38" s="704"/>
      <c r="IJS38" s="704"/>
      <c r="IJT38" s="704"/>
      <c r="IJU38" s="704"/>
      <c r="IJV38" s="704"/>
      <c r="IJW38" s="704"/>
      <c r="IJX38" s="704"/>
      <c r="IJY38" s="704"/>
      <c r="IJZ38" s="704"/>
      <c r="IKA38" s="704"/>
      <c r="IKB38" s="704"/>
      <c r="IKC38" s="704"/>
      <c r="IKD38" s="704"/>
      <c r="IKE38" s="704"/>
      <c r="IKF38" s="704"/>
      <c r="IKG38" s="704"/>
      <c r="IKH38" s="704"/>
      <c r="IKI38" s="704"/>
      <c r="IKJ38" s="704"/>
      <c r="IKK38" s="704"/>
      <c r="IKL38" s="704"/>
      <c r="IKM38" s="704"/>
      <c r="IKN38" s="704"/>
      <c r="IKO38" s="704"/>
      <c r="IKP38" s="704"/>
      <c r="IKQ38" s="704"/>
      <c r="IKR38" s="704"/>
      <c r="IKS38" s="704"/>
      <c r="IKT38" s="704"/>
      <c r="IKU38" s="704"/>
      <c r="IKV38" s="704"/>
      <c r="IKW38" s="704"/>
      <c r="IKX38" s="704"/>
      <c r="IKY38" s="704"/>
      <c r="IKZ38" s="704"/>
      <c r="ILA38" s="704"/>
      <c r="ILB38" s="704"/>
      <c r="ILC38" s="704"/>
      <c r="ILD38" s="704"/>
      <c r="ILE38" s="704"/>
      <c r="ILF38" s="704"/>
      <c r="ILG38" s="704"/>
      <c r="ILH38" s="704"/>
      <c r="ILI38" s="704"/>
      <c r="ILJ38" s="704"/>
      <c r="ILK38" s="704"/>
      <c r="ILL38" s="704"/>
      <c r="ILM38" s="704"/>
      <c r="ILN38" s="704"/>
      <c r="ILO38" s="704"/>
      <c r="ILP38" s="704"/>
      <c r="ILQ38" s="704"/>
      <c r="ILR38" s="704"/>
      <c r="ILS38" s="704"/>
      <c r="ILT38" s="704"/>
      <c r="ILU38" s="704"/>
      <c r="ILV38" s="704"/>
      <c r="ILW38" s="704"/>
      <c r="ILX38" s="704"/>
      <c r="ILY38" s="704"/>
      <c r="ILZ38" s="704"/>
      <c r="IMA38" s="704"/>
      <c r="IMB38" s="704"/>
      <c r="IMC38" s="704"/>
      <c r="IMD38" s="704"/>
      <c r="IME38" s="704"/>
      <c r="IMF38" s="704"/>
      <c r="IMG38" s="704"/>
      <c r="IMH38" s="704"/>
      <c r="IMI38" s="704"/>
      <c r="IMJ38" s="704"/>
      <c r="IMK38" s="704"/>
      <c r="IML38" s="704"/>
      <c r="IMM38" s="704"/>
      <c r="IMN38" s="704"/>
      <c r="IMO38" s="704"/>
      <c r="IMP38" s="704"/>
      <c r="IMQ38" s="704"/>
      <c r="IMR38" s="704"/>
      <c r="IMS38" s="704"/>
      <c r="IMT38" s="704"/>
      <c r="IMU38" s="704"/>
      <c r="IMV38" s="704"/>
      <c r="IMW38" s="704"/>
      <c r="IMX38" s="704"/>
      <c r="IMY38" s="704"/>
      <c r="IMZ38" s="704"/>
      <c r="INA38" s="704"/>
      <c r="INB38" s="704"/>
      <c r="INC38" s="704"/>
      <c r="IND38" s="704"/>
      <c r="INE38" s="704"/>
      <c r="INF38" s="704"/>
      <c r="ING38" s="704"/>
      <c r="INH38" s="704"/>
      <c r="INI38" s="704"/>
      <c r="INJ38" s="704"/>
      <c r="INK38" s="704"/>
      <c r="INL38" s="704"/>
      <c r="INM38" s="704"/>
      <c r="INN38" s="704"/>
      <c r="INO38" s="704"/>
      <c r="INP38" s="704"/>
      <c r="INQ38" s="704"/>
      <c r="INR38" s="704"/>
      <c r="INS38" s="704"/>
      <c r="INT38" s="704"/>
      <c r="INU38" s="704"/>
      <c r="INV38" s="704"/>
      <c r="INW38" s="704"/>
      <c r="INX38" s="704"/>
      <c r="INY38" s="704"/>
      <c r="INZ38" s="704"/>
      <c r="IOA38" s="704"/>
      <c r="IOB38" s="704"/>
      <c r="IOC38" s="704"/>
      <c r="IOD38" s="704"/>
      <c r="IOE38" s="704"/>
      <c r="IOF38" s="704"/>
      <c r="IOG38" s="704"/>
      <c r="IOH38" s="704"/>
      <c r="IOI38" s="704"/>
      <c r="IOJ38" s="704"/>
      <c r="IOK38" s="704"/>
      <c r="IOL38" s="704"/>
      <c r="IOM38" s="704"/>
      <c r="ION38" s="704"/>
      <c r="IOO38" s="704"/>
      <c r="IOP38" s="704"/>
      <c r="IOQ38" s="704"/>
      <c r="IOR38" s="704"/>
      <c r="IOS38" s="704"/>
      <c r="IOT38" s="704"/>
      <c r="IOU38" s="704"/>
      <c r="IOV38" s="704"/>
      <c r="IOW38" s="704"/>
      <c r="IOX38" s="704"/>
      <c r="IOY38" s="704"/>
      <c r="IOZ38" s="704"/>
      <c r="IPA38" s="704"/>
      <c r="IPB38" s="704"/>
      <c r="IPC38" s="704"/>
      <c r="IPD38" s="704"/>
      <c r="IPE38" s="704"/>
      <c r="IPF38" s="704"/>
      <c r="IPG38" s="704"/>
      <c r="IPH38" s="704"/>
      <c r="IPI38" s="704"/>
      <c r="IPJ38" s="704"/>
      <c r="IPK38" s="704"/>
      <c r="IPL38" s="704"/>
      <c r="IPM38" s="704"/>
      <c r="IPN38" s="704"/>
      <c r="IPO38" s="704"/>
      <c r="IPP38" s="704"/>
      <c r="IPQ38" s="704"/>
      <c r="IPR38" s="704"/>
      <c r="IPS38" s="704"/>
      <c r="IPT38" s="704"/>
      <c r="IPU38" s="704"/>
      <c r="IPV38" s="704"/>
      <c r="IPW38" s="704"/>
      <c r="IPX38" s="704"/>
      <c r="IPY38" s="704"/>
      <c r="IPZ38" s="704"/>
      <c r="IQA38" s="704"/>
      <c r="IQB38" s="704"/>
      <c r="IQC38" s="704"/>
      <c r="IQD38" s="704"/>
      <c r="IQE38" s="704"/>
      <c r="IQF38" s="704"/>
      <c r="IQG38" s="704"/>
      <c r="IQH38" s="704"/>
      <c r="IQI38" s="704"/>
      <c r="IQJ38" s="704"/>
      <c r="IQK38" s="704"/>
      <c r="IQL38" s="704"/>
      <c r="IQM38" s="704"/>
      <c r="IQN38" s="704"/>
      <c r="IQO38" s="704"/>
      <c r="IQP38" s="704"/>
      <c r="IQQ38" s="704"/>
      <c r="IQR38" s="704"/>
      <c r="IQS38" s="704"/>
      <c r="IQT38" s="704"/>
      <c r="IQU38" s="704"/>
      <c r="IQV38" s="704"/>
      <c r="IQW38" s="704"/>
      <c r="IQX38" s="704"/>
      <c r="IQY38" s="704"/>
      <c r="IQZ38" s="704"/>
      <c r="IRA38" s="704"/>
      <c r="IRB38" s="704"/>
      <c r="IRC38" s="704"/>
      <c r="IRD38" s="704"/>
      <c r="IRE38" s="704"/>
      <c r="IRF38" s="704"/>
      <c r="IRG38" s="704"/>
      <c r="IRH38" s="704"/>
      <c r="IRI38" s="704"/>
      <c r="IRJ38" s="704"/>
      <c r="IRK38" s="704"/>
      <c r="IRL38" s="704"/>
      <c r="IRM38" s="704"/>
      <c r="IRN38" s="704"/>
      <c r="IRO38" s="704"/>
      <c r="IRP38" s="704"/>
      <c r="IRQ38" s="704"/>
      <c r="IRR38" s="704"/>
      <c r="IRS38" s="704"/>
      <c r="IRT38" s="704"/>
      <c r="IRU38" s="704"/>
      <c r="IRV38" s="704"/>
      <c r="IRW38" s="704"/>
      <c r="IRX38" s="704"/>
      <c r="IRY38" s="704"/>
      <c r="IRZ38" s="704"/>
      <c r="ISA38" s="704"/>
      <c r="ISB38" s="704"/>
      <c r="ISC38" s="704"/>
      <c r="ISD38" s="704"/>
      <c r="ISE38" s="704"/>
      <c r="ISF38" s="704"/>
      <c r="ISG38" s="704"/>
      <c r="ISH38" s="704"/>
      <c r="ISI38" s="704"/>
      <c r="ISJ38" s="704"/>
      <c r="ISK38" s="704"/>
      <c r="ISL38" s="704"/>
      <c r="ISM38" s="704"/>
      <c r="ISN38" s="704"/>
      <c r="ISO38" s="704"/>
      <c r="ISP38" s="704"/>
      <c r="ISQ38" s="704"/>
      <c r="ISR38" s="704"/>
      <c r="ISS38" s="704"/>
      <c r="IST38" s="704"/>
      <c r="ISU38" s="704"/>
      <c r="ISV38" s="704"/>
      <c r="ISW38" s="704"/>
      <c r="ISX38" s="704"/>
      <c r="ISY38" s="704"/>
      <c r="ISZ38" s="704"/>
      <c r="ITA38" s="704"/>
      <c r="ITB38" s="704"/>
      <c r="ITC38" s="704"/>
      <c r="ITD38" s="704"/>
      <c r="ITE38" s="704"/>
      <c r="ITF38" s="704"/>
      <c r="ITG38" s="704"/>
      <c r="ITH38" s="704"/>
      <c r="ITI38" s="704"/>
      <c r="ITJ38" s="704"/>
      <c r="ITK38" s="704"/>
      <c r="ITL38" s="704"/>
      <c r="ITM38" s="704"/>
      <c r="ITN38" s="704"/>
      <c r="ITO38" s="704"/>
      <c r="ITP38" s="704"/>
      <c r="ITQ38" s="704"/>
      <c r="ITR38" s="704"/>
      <c r="ITS38" s="704"/>
      <c r="ITT38" s="704"/>
      <c r="ITU38" s="704"/>
      <c r="ITV38" s="704"/>
      <c r="ITW38" s="704"/>
      <c r="ITX38" s="704"/>
      <c r="ITY38" s="704"/>
      <c r="ITZ38" s="704"/>
      <c r="IUA38" s="704"/>
      <c r="IUB38" s="704"/>
      <c r="IUC38" s="704"/>
      <c r="IUD38" s="704"/>
      <c r="IUE38" s="704"/>
      <c r="IUF38" s="704"/>
      <c r="IUG38" s="704"/>
      <c r="IUH38" s="704"/>
      <c r="IUI38" s="704"/>
      <c r="IUJ38" s="704"/>
      <c r="IUK38" s="704"/>
      <c r="IUL38" s="704"/>
      <c r="IUM38" s="704"/>
      <c r="IUN38" s="704"/>
      <c r="IUO38" s="704"/>
      <c r="IUP38" s="704"/>
      <c r="IUQ38" s="704"/>
      <c r="IUR38" s="704"/>
      <c r="IUS38" s="704"/>
      <c r="IUT38" s="704"/>
      <c r="IUU38" s="704"/>
      <c r="IUV38" s="704"/>
      <c r="IUW38" s="704"/>
      <c r="IUX38" s="704"/>
      <c r="IUY38" s="704"/>
      <c r="IUZ38" s="704"/>
      <c r="IVA38" s="704"/>
      <c r="IVB38" s="704"/>
      <c r="IVC38" s="704"/>
      <c r="IVD38" s="704"/>
      <c r="IVE38" s="704"/>
      <c r="IVF38" s="704"/>
      <c r="IVG38" s="704"/>
      <c r="IVH38" s="704"/>
      <c r="IVI38" s="704"/>
      <c r="IVJ38" s="704"/>
      <c r="IVK38" s="704"/>
      <c r="IVL38" s="704"/>
      <c r="IVM38" s="704"/>
      <c r="IVN38" s="704"/>
      <c r="IVO38" s="704"/>
      <c r="IVP38" s="704"/>
      <c r="IVQ38" s="704"/>
      <c r="IVR38" s="704"/>
      <c r="IVS38" s="704"/>
      <c r="IVT38" s="704"/>
      <c r="IVU38" s="704"/>
      <c r="IVV38" s="704"/>
      <c r="IVW38" s="704"/>
      <c r="IVX38" s="704"/>
      <c r="IVY38" s="704"/>
      <c r="IVZ38" s="704"/>
      <c r="IWA38" s="704"/>
      <c r="IWB38" s="704"/>
      <c r="IWC38" s="704"/>
      <c r="IWD38" s="704"/>
      <c r="IWE38" s="704"/>
      <c r="IWF38" s="704"/>
      <c r="IWG38" s="704"/>
      <c r="IWH38" s="704"/>
      <c r="IWI38" s="704"/>
      <c r="IWJ38" s="704"/>
      <c r="IWK38" s="704"/>
      <c r="IWL38" s="704"/>
      <c r="IWM38" s="704"/>
      <c r="IWN38" s="704"/>
      <c r="IWO38" s="704"/>
      <c r="IWP38" s="704"/>
      <c r="IWQ38" s="704"/>
      <c r="IWR38" s="704"/>
      <c r="IWS38" s="704"/>
      <c r="IWT38" s="704"/>
      <c r="IWU38" s="704"/>
      <c r="IWV38" s="704"/>
      <c r="IWW38" s="704"/>
      <c r="IWX38" s="704"/>
      <c r="IWY38" s="704"/>
      <c r="IWZ38" s="704"/>
      <c r="IXA38" s="704"/>
      <c r="IXB38" s="704"/>
      <c r="IXC38" s="704"/>
      <c r="IXD38" s="704"/>
      <c r="IXE38" s="704"/>
      <c r="IXF38" s="704"/>
      <c r="IXG38" s="704"/>
      <c r="IXH38" s="704"/>
      <c r="IXI38" s="704"/>
      <c r="IXJ38" s="704"/>
      <c r="IXK38" s="704"/>
      <c r="IXL38" s="704"/>
      <c r="IXM38" s="704"/>
      <c r="IXN38" s="704"/>
      <c r="IXO38" s="704"/>
      <c r="IXP38" s="704"/>
      <c r="IXQ38" s="704"/>
      <c r="IXR38" s="704"/>
      <c r="IXS38" s="704"/>
      <c r="IXT38" s="704"/>
      <c r="IXU38" s="704"/>
      <c r="IXV38" s="704"/>
      <c r="IXW38" s="704"/>
      <c r="IXX38" s="704"/>
      <c r="IXY38" s="704"/>
      <c r="IXZ38" s="704"/>
      <c r="IYA38" s="704"/>
      <c r="IYB38" s="704"/>
      <c r="IYC38" s="704"/>
      <c r="IYD38" s="704"/>
      <c r="IYE38" s="704"/>
      <c r="IYF38" s="704"/>
      <c r="IYG38" s="704"/>
      <c r="IYH38" s="704"/>
      <c r="IYI38" s="704"/>
      <c r="IYJ38" s="704"/>
      <c r="IYK38" s="704"/>
      <c r="IYL38" s="704"/>
      <c r="IYM38" s="704"/>
      <c r="IYN38" s="704"/>
      <c r="IYO38" s="704"/>
      <c r="IYP38" s="704"/>
      <c r="IYQ38" s="704"/>
      <c r="IYR38" s="704"/>
      <c r="IYS38" s="704"/>
      <c r="IYT38" s="704"/>
      <c r="IYU38" s="704"/>
      <c r="IYV38" s="704"/>
      <c r="IYW38" s="704"/>
      <c r="IYX38" s="704"/>
      <c r="IYY38" s="704"/>
      <c r="IYZ38" s="704"/>
      <c r="IZA38" s="704"/>
      <c r="IZB38" s="704"/>
      <c r="IZC38" s="704"/>
      <c r="IZD38" s="704"/>
      <c r="IZE38" s="704"/>
      <c r="IZF38" s="704"/>
      <c r="IZG38" s="704"/>
      <c r="IZH38" s="704"/>
      <c r="IZI38" s="704"/>
      <c r="IZJ38" s="704"/>
      <c r="IZK38" s="704"/>
      <c r="IZL38" s="704"/>
      <c r="IZM38" s="704"/>
      <c r="IZN38" s="704"/>
      <c r="IZO38" s="704"/>
      <c r="IZP38" s="704"/>
      <c r="IZQ38" s="704"/>
      <c r="IZR38" s="704"/>
      <c r="IZS38" s="704"/>
      <c r="IZT38" s="704"/>
      <c r="IZU38" s="704"/>
      <c r="IZV38" s="704"/>
      <c r="IZW38" s="704"/>
      <c r="IZX38" s="704"/>
      <c r="IZY38" s="704"/>
      <c r="IZZ38" s="704"/>
      <c r="JAA38" s="704"/>
      <c r="JAB38" s="704"/>
      <c r="JAC38" s="704"/>
      <c r="JAD38" s="704"/>
      <c r="JAE38" s="704"/>
      <c r="JAF38" s="704"/>
      <c r="JAG38" s="704"/>
      <c r="JAH38" s="704"/>
      <c r="JAI38" s="704"/>
      <c r="JAJ38" s="704"/>
      <c r="JAK38" s="704"/>
      <c r="JAL38" s="704"/>
      <c r="JAM38" s="704"/>
      <c r="JAN38" s="704"/>
      <c r="JAO38" s="704"/>
      <c r="JAP38" s="704"/>
      <c r="JAQ38" s="704"/>
      <c r="JAR38" s="704"/>
      <c r="JAS38" s="704"/>
      <c r="JAT38" s="704"/>
      <c r="JAU38" s="704"/>
      <c r="JAV38" s="704"/>
      <c r="JAW38" s="704"/>
      <c r="JAX38" s="704"/>
      <c r="JAY38" s="704"/>
      <c r="JAZ38" s="704"/>
      <c r="JBA38" s="704"/>
      <c r="JBB38" s="704"/>
      <c r="JBC38" s="704"/>
      <c r="JBD38" s="704"/>
      <c r="JBE38" s="704"/>
      <c r="JBF38" s="704"/>
      <c r="JBG38" s="704"/>
      <c r="JBH38" s="704"/>
      <c r="JBI38" s="704"/>
      <c r="JBJ38" s="704"/>
      <c r="JBK38" s="704"/>
      <c r="JBL38" s="704"/>
      <c r="JBM38" s="704"/>
      <c r="JBN38" s="704"/>
      <c r="JBO38" s="704"/>
      <c r="JBP38" s="704"/>
      <c r="JBQ38" s="704"/>
      <c r="JBR38" s="704"/>
      <c r="JBS38" s="704"/>
      <c r="JBT38" s="704"/>
      <c r="JBU38" s="704"/>
      <c r="JBV38" s="704"/>
      <c r="JBW38" s="704"/>
      <c r="JBX38" s="704"/>
      <c r="JBY38" s="704"/>
      <c r="JBZ38" s="704"/>
      <c r="JCA38" s="704"/>
      <c r="JCB38" s="704"/>
      <c r="JCC38" s="704"/>
      <c r="JCD38" s="704"/>
      <c r="JCE38" s="704"/>
      <c r="JCF38" s="704"/>
      <c r="JCG38" s="704"/>
      <c r="JCH38" s="704"/>
      <c r="JCI38" s="704"/>
      <c r="JCJ38" s="704"/>
      <c r="JCK38" s="704"/>
      <c r="JCL38" s="704"/>
      <c r="JCM38" s="704"/>
      <c r="JCN38" s="704"/>
      <c r="JCO38" s="704"/>
      <c r="JCP38" s="704"/>
      <c r="JCQ38" s="704"/>
      <c r="JCR38" s="704"/>
      <c r="JCS38" s="704"/>
      <c r="JCT38" s="704"/>
      <c r="JCU38" s="704"/>
      <c r="JCV38" s="704"/>
      <c r="JCW38" s="704"/>
      <c r="JCX38" s="704"/>
      <c r="JCY38" s="704"/>
      <c r="JCZ38" s="704"/>
      <c r="JDA38" s="704"/>
      <c r="JDB38" s="704"/>
      <c r="JDC38" s="704"/>
      <c r="JDD38" s="704"/>
      <c r="JDE38" s="704"/>
      <c r="JDF38" s="704"/>
      <c r="JDG38" s="704"/>
      <c r="JDH38" s="704"/>
      <c r="JDI38" s="704"/>
      <c r="JDJ38" s="704"/>
      <c r="JDK38" s="704"/>
      <c r="JDL38" s="704"/>
      <c r="JDM38" s="704"/>
      <c r="JDN38" s="704"/>
      <c r="JDO38" s="704"/>
      <c r="JDP38" s="704"/>
      <c r="JDQ38" s="704"/>
      <c r="JDR38" s="704"/>
      <c r="JDS38" s="704"/>
      <c r="JDT38" s="704"/>
      <c r="JDU38" s="704"/>
      <c r="JDV38" s="704"/>
      <c r="JDW38" s="704"/>
      <c r="JDX38" s="704"/>
      <c r="JDY38" s="704"/>
      <c r="JDZ38" s="704"/>
      <c r="JEA38" s="704"/>
      <c r="JEB38" s="704"/>
      <c r="JEC38" s="704"/>
      <c r="JED38" s="704"/>
      <c r="JEE38" s="704"/>
      <c r="JEF38" s="704"/>
      <c r="JEG38" s="704"/>
      <c r="JEH38" s="704"/>
      <c r="JEI38" s="704"/>
      <c r="JEJ38" s="704"/>
      <c r="JEK38" s="704"/>
      <c r="JEL38" s="704"/>
      <c r="JEM38" s="704"/>
      <c r="JEN38" s="704"/>
      <c r="JEO38" s="704"/>
      <c r="JEP38" s="704"/>
      <c r="JEQ38" s="704"/>
      <c r="JER38" s="704"/>
      <c r="JES38" s="704"/>
      <c r="JET38" s="704"/>
      <c r="JEU38" s="704"/>
      <c r="JEV38" s="704"/>
      <c r="JEW38" s="704"/>
      <c r="JEX38" s="704"/>
      <c r="JEY38" s="704"/>
      <c r="JEZ38" s="704"/>
      <c r="JFA38" s="704"/>
      <c r="JFB38" s="704"/>
      <c r="JFC38" s="704"/>
      <c r="JFD38" s="704"/>
      <c r="JFE38" s="704"/>
      <c r="JFF38" s="704"/>
      <c r="JFG38" s="704"/>
      <c r="JFH38" s="704"/>
      <c r="JFI38" s="704"/>
      <c r="JFJ38" s="704"/>
      <c r="JFK38" s="704"/>
      <c r="JFL38" s="704"/>
      <c r="JFM38" s="704"/>
      <c r="JFN38" s="704"/>
      <c r="JFO38" s="704"/>
      <c r="JFP38" s="704"/>
      <c r="JFQ38" s="704"/>
      <c r="JFR38" s="704"/>
      <c r="JFS38" s="704"/>
      <c r="JFT38" s="704"/>
      <c r="JFU38" s="704"/>
      <c r="JFV38" s="704"/>
      <c r="JFW38" s="704"/>
      <c r="JFX38" s="704"/>
      <c r="JFY38" s="704"/>
      <c r="JFZ38" s="704"/>
      <c r="JGA38" s="704"/>
      <c r="JGB38" s="704"/>
      <c r="JGC38" s="704"/>
      <c r="JGD38" s="704"/>
      <c r="JGE38" s="704"/>
      <c r="JGF38" s="704"/>
      <c r="JGG38" s="704"/>
      <c r="JGH38" s="704"/>
      <c r="JGI38" s="704"/>
      <c r="JGJ38" s="704"/>
      <c r="JGK38" s="704"/>
      <c r="JGL38" s="704"/>
      <c r="JGM38" s="704"/>
      <c r="JGN38" s="704"/>
      <c r="JGO38" s="704"/>
      <c r="JGP38" s="704"/>
      <c r="JGQ38" s="704"/>
      <c r="JGR38" s="704"/>
      <c r="JGS38" s="704"/>
      <c r="JGT38" s="704"/>
      <c r="JGU38" s="704"/>
      <c r="JGV38" s="704"/>
      <c r="JGW38" s="704"/>
      <c r="JGX38" s="704"/>
      <c r="JGY38" s="704"/>
      <c r="JGZ38" s="704"/>
      <c r="JHA38" s="704"/>
      <c r="JHB38" s="704"/>
      <c r="JHC38" s="704"/>
      <c r="JHD38" s="704"/>
      <c r="JHE38" s="704"/>
      <c r="JHF38" s="704"/>
      <c r="JHG38" s="704"/>
      <c r="JHH38" s="704"/>
      <c r="JHI38" s="704"/>
      <c r="JHJ38" s="704"/>
      <c r="JHK38" s="704"/>
      <c r="JHL38" s="704"/>
      <c r="JHM38" s="704"/>
      <c r="JHN38" s="704"/>
      <c r="JHO38" s="704"/>
      <c r="JHP38" s="704"/>
      <c r="JHQ38" s="704"/>
      <c r="JHR38" s="704"/>
      <c r="JHS38" s="704"/>
      <c r="JHT38" s="704"/>
      <c r="JHU38" s="704"/>
      <c r="JHV38" s="704"/>
      <c r="JHW38" s="704"/>
      <c r="JHX38" s="704"/>
      <c r="JHY38" s="704"/>
      <c r="JHZ38" s="704"/>
      <c r="JIA38" s="704"/>
      <c r="JIB38" s="704"/>
      <c r="JIC38" s="704"/>
      <c r="JID38" s="704"/>
      <c r="JIE38" s="704"/>
      <c r="JIF38" s="704"/>
      <c r="JIG38" s="704"/>
      <c r="JIH38" s="704"/>
      <c r="JII38" s="704"/>
      <c r="JIJ38" s="704"/>
      <c r="JIK38" s="704"/>
      <c r="JIL38" s="704"/>
      <c r="JIM38" s="704"/>
      <c r="JIN38" s="704"/>
      <c r="JIO38" s="704"/>
      <c r="JIP38" s="704"/>
      <c r="JIQ38" s="704"/>
      <c r="JIR38" s="704"/>
      <c r="JIS38" s="704"/>
      <c r="JIT38" s="704"/>
      <c r="JIU38" s="704"/>
      <c r="JIV38" s="704"/>
      <c r="JIW38" s="704"/>
      <c r="JIX38" s="704"/>
      <c r="JIY38" s="704"/>
      <c r="JIZ38" s="704"/>
      <c r="JJA38" s="704"/>
      <c r="JJB38" s="704"/>
      <c r="JJC38" s="704"/>
      <c r="JJD38" s="704"/>
      <c r="JJE38" s="704"/>
      <c r="JJF38" s="704"/>
      <c r="JJG38" s="704"/>
      <c r="JJH38" s="704"/>
      <c r="JJI38" s="704"/>
      <c r="JJJ38" s="704"/>
      <c r="JJK38" s="704"/>
      <c r="JJL38" s="704"/>
      <c r="JJM38" s="704"/>
      <c r="JJN38" s="704"/>
      <c r="JJO38" s="704"/>
      <c r="JJP38" s="704"/>
      <c r="JJQ38" s="704"/>
      <c r="JJR38" s="704"/>
      <c r="JJS38" s="704"/>
      <c r="JJT38" s="704"/>
      <c r="JJU38" s="704"/>
      <c r="JJV38" s="704"/>
      <c r="JJW38" s="704"/>
      <c r="JJX38" s="704"/>
      <c r="JJY38" s="704"/>
      <c r="JJZ38" s="704"/>
      <c r="JKA38" s="704"/>
      <c r="JKB38" s="704"/>
      <c r="JKC38" s="704"/>
      <c r="JKD38" s="704"/>
      <c r="JKE38" s="704"/>
      <c r="JKF38" s="704"/>
      <c r="JKG38" s="704"/>
      <c r="JKH38" s="704"/>
      <c r="JKI38" s="704"/>
      <c r="JKJ38" s="704"/>
      <c r="JKK38" s="704"/>
      <c r="JKL38" s="704"/>
      <c r="JKM38" s="704"/>
      <c r="JKN38" s="704"/>
      <c r="JKO38" s="704"/>
      <c r="JKP38" s="704"/>
      <c r="JKQ38" s="704"/>
      <c r="JKR38" s="704"/>
      <c r="JKS38" s="704"/>
      <c r="JKT38" s="704"/>
      <c r="JKU38" s="704"/>
      <c r="JKV38" s="704"/>
      <c r="JKW38" s="704"/>
      <c r="JKX38" s="704"/>
      <c r="JKY38" s="704"/>
      <c r="JKZ38" s="704"/>
      <c r="JLA38" s="704"/>
      <c r="JLB38" s="704"/>
      <c r="JLC38" s="704"/>
      <c r="JLD38" s="704"/>
      <c r="JLE38" s="704"/>
      <c r="JLF38" s="704"/>
      <c r="JLG38" s="704"/>
      <c r="JLH38" s="704"/>
      <c r="JLI38" s="704"/>
      <c r="JLJ38" s="704"/>
      <c r="JLK38" s="704"/>
      <c r="JLL38" s="704"/>
      <c r="JLM38" s="704"/>
      <c r="JLN38" s="704"/>
      <c r="JLO38" s="704"/>
      <c r="JLP38" s="704"/>
      <c r="JLQ38" s="704"/>
      <c r="JLR38" s="704"/>
      <c r="JLS38" s="704"/>
      <c r="JLT38" s="704"/>
      <c r="JLU38" s="704"/>
      <c r="JLV38" s="704"/>
      <c r="JLW38" s="704"/>
      <c r="JLX38" s="704"/>
      <c r="JLY38" s="704"/>
      <c r="JLZ38" s="704"/>
      <c r="JMA38" s="704"/>
      <c r="JMB38" s="704"/>
      <c r="JMC38" s="704"/>
      <c r="JMD38" s="704"/>
      <c r="JME38" s="704"/>
      <c r="JMF38" s="704"/>
      <c r="JMG38" s="704"/>
      <c r="JMH38" s="704"/>
      <c r="JMI38" s="704"/>
      <c r="JMJ38" s="704"/>
      <c r="JMK38" s="704"/>
      <c r="JML38" s="704"/>
      <c r="JMM38" s="704"/>
      <c r="JMN38" s="704"/>
      <c r="JMO38" s="704"/>
      <c r="JMP38" s="704"/>
      <c r="JMQ38" s="704"/>
      <c r="JMR38" s="704"/>
      <c r="JMS38" s="704"/>
      <c r="JMT38" s="704"/>
      <c r="JMU38" s="704"/>
      <c r="JMV38" s="704"/>
      <c r="JMW38" s="704"/>
      <c r="JMX38" s="704"/>
      <c r="JMY38" s="704"/>
      <c r="JMZ38" s="704"/>
      <c r="JNA38" s="704"/>
      <c r="JNB38" s="704"/>
      <c r="JNC38" s="704"/>
      <c r="JND38" s="704"/>
      <c r="JNE38" s="704"/>
      <c r="JNF38" s="704"/>
      <c r="JNG38" s="704"/>
      <c r="JNH38" s="704"/>
      <c r="JNI38" s="704"/>
      <c r="JNJ38" s="704"/>
      <c r="JNK38" s="704"/>
      <c r="JNL38" s="704"/>
      <c r="JNM38" s="704"/>
      <c r="JNN38" s="704"/>
      <c r="JNO38" s="704"/>
      <c r="JNP38" s="704"/>
      <c r="JNQ38" s="704"/>
      <c r="JNR38" s="704"/>
      <c r="JNS38" s="704"/>
      <c r="JNT38" s="704"/>
      <c r="JNU38" s="704"/>
      <c r="JNV38" s="704"/>
      <c r="JNW38" s="704"/>
      <c r="JNX38" s="704"/>
      <c r="JNY38" s="704"/>
      <c r="JNZ38" s="704"/>
      <c r="JOA38" s="704"/>
      <c r="JOB38" s="704"/>
      <c r="JOC38" s="704"/>
      <c r="JOD38" s="704"/>
      <c r="JOE38" s="704"/>
      <c r="JOF38" s="704"/>
      <c r="JOG38" s="704"/>
      <c r="JOH38" s="704"/>
      <c r="JOI38" s="704"/>
      <c r="JOJ38" s="704"/>
      <c r="JOK38" s="704"/>
      <c r="JOL38" s="704"/>
      <c r="JOM38" s="704"/>
      <c r="JON38" s="704"/>
      <c r="JOO38" s="704"/>
      <c r="JOP38" s="704"/>
      <c r="JOQ38" s="704"/>
      <c r="JOR38" s="704"/>
      <c r="JOS38" s="704"/>
      <c r="JOT38" s="704"/>
      <c r="JOU38" s="704"/>
      <c r="JOV38" s="704"/>
      <c r="JOW38" s="704"/>
      <c r="JOX38" s="704"/>
      <c r="JOY38" s="704"/>
      <c r="JOZ38" s="704"/>
      <c r="JPA38" s="704"/>
      <c r="JPB38" s="704"/>
      <c r="JPC38" s="704"/>
      <c r="JPD38" s="704"/>
      <c r="JPE38" s="704"/>
      <c r="JPF38" s="704"/>
      <c r="JPG38" s="704"/>
      <c r="JPH38" s="704"/>
      <c r="JPI38" s="704"/>
      <c r="JPJ38" s="704"/>
      <c r="JPK38" s="704"/>
      <c r="JPL38" s="704"/>
      <c r="JPM38" s="704"/>
      <c r="JPN38" s="704"/>
      <c r="JPO38" s="704"/>
      <c r="JPP38" s="704"/>
      <c r="JPQ38" s="704"/>
      <c r="JPR38" s="704"/>
      <c r="JPS38" s="704"/>
      <c r="JPT38" s="704"/>
      <c r="JPU38" s="704"/>
      <c r="JPV38" s="704"/>
      <c r="JPW38" s="704"/>
      <c r="JPX38" s="704"/>
      <c r="JPY38" s="704"/>
      <c r="JPZ38" s="704"/>
      <c r="JQA38" s="704"/>
      <c r="JQB38" s="704"/>
      <c r="JQC38" s="704"/>
      <c r="JQD38" s="704"/>
      <c r="JQE38" s="704"/>
      <c r="JQF38" s="704"/>
      <c r="JQG38" s="704"/>
      <c r="JQH38" s="704"/>
      <c r="JQI38" s="704"/>
      <c r="JQJ38" s="704"/>
      <c r="JQK38" s="704"/>
      <c r="JQL38" s="704"/>
      <c r="JQM38" s="704"/>
      <c r="JQN38" s="704"/>
      <c r="JQO38" s="704"/>
      <c r="JQP38" s="704"/>
      <c r="JQQ38" s="704"/>
      <c r="JQR38" s="704"/>
      <c r="JQS38" s="704"/>
      <c r="JQT38" s="704"/>
      <c r="JQU38" s="704"/>
      <c r="JQV38" s="704"/>
      <c r="JQW38" s="704"/>
      <c r="JQX38" s="704"/>
      <c r="JQY38" s="704"/>
      <c r="JQZ38" s="704"/>
      <c r="JRA38" s="704"/>
      <c r="JRB38" s="704"/>
      <c r="JRC38" s="704"/>
      <c r="JRD38" s="704"/>
      <c r="JRE38" s="704"/>
      <c r="JRF38" s="704"/>
      <c r="JRG38" s="704"/>
      <c r="JRH38" s="704"/>
      <c r="JRI38" s="704"/>
      <c r="JRJ38" s="704"/>
      <c r="JRK38" s="704"/>
      <c r="JRL38" s="704"/>
      <c r="JRM38" s="704"/>
      <c r="JRN38" s="704"/>
      <c r="JRO38" s="704"/>
      <c r="JRP38" s="704"/>
      <c r="JRQ38" s="704"/>
      <c r="JRR38" s="704"/>
      <c r="JRS38" s="704"/>
      <c r="JRT38" s="704"/>
      <c r="JRU38" s="704"/>
      <c r="JRV38" s="704"/>
      <c r="JRW38" s="704"/>
      <c r="JRX38" s="704"/>
      <c r="JRY38" s="704"/>
      <c r="JRZ38" s="704"/>
      <c r="JSA38" s="704"/>
      <c r="JSB38" s="704"/>
      <c r="JSC38" s="704"/>
      <c r="JSD38" s="704"/>
      <c r="JSE38" s="704"/>
      <c r="JSF38" s="704"/>
      <c r="JSG38" s="704"/>
      <c r="JSH38" s="704"/>
      <c r="JSI38" s="704"/>
      <c r="JSJ38" s="704"/>
      <c r="JSK38" s="704"/>
      <c r="JSL38" s="704"/>
      <c r="JSM38" s="704"/>
      <c r="JSN38" s="704"/>
      <c r="JSO38" s="704"/>
      <c r="JSP38" s="704"/>
      <c r="JSQ38" s="704"/>
      <c r="JSR38" s="704"/>
      <c r="JSS38" s="704"/>
      <c r="JST38" s="704"/>
      <c r="JSU38" s="704"/>
      <c r="JSV38" s="704"/>
      <c r="JSW38" s="704"/>
      <c r="JSX38" s="704"/>
      <c r="JSY38" s="704"/>
      <c r="JSZ38" s="704"/>
      <c r="JTA38" s="704"/>
      <c r="JTB38" s="704"/>
      <c r="JTC38" s="704"/>
      <c r="JTD38" s="704"/>
      <c r="JTE38" s="704"/>
      <c r="JTF38" s="704"/>
      <c r="JTG38" s="704"/>
      <c r="JTH38" s="704"/>
      <c r="JTI38" s="704"/>
      <c r="JTJ38" s="704"/>
      <c r="JTK38" s="704"/>
      <c r="JTL38" s="704"/>
      <c r="JTM38" s="704"/>
      <c r="JTN38" s="704"/>
      <c r="JTO38" s="704"/>
      <c r="JTP38" s="704"/>
      <c r="JTQ38" s="704"/>
      <c r="JTR38" s="704"/>
      <c r="JTS38" s="704"/>
      <c r="JTT38" s="704"/>
      <c r="JTU38" s="704"/>
      <c r="JTV38" s="704"/>
      <c r="JTW38" s="704"/>
      <c r="JTX38" s="704"/>
      <c r="JTY38" s="704"/>
      <c r="JTZ38" s="704"/>
      <c r="JUA38" s="704"/>
      <c r="JUB38" s="704"/>
      <c r="JUC38" s="704"/>
      <c r="JUD38" s="704"/>
      <c r="JUE38" s="704"/>
      <c r="JUF38" s="704"/>
      <c r="JUG38" s="704"/>
      <c r="JUH38" s="704"/>
      <c r="JUI38" s="704"/>
      <c r="JUJ38" s="704"/>
      <c r="JUK38" s="704"/>
      <c r="JUL38" s="704"/>
      <c r="JUM38" s="704"/>
      <c r="JUN38" s="704"/>
      <c r="JUO38" s="704"/>
      <c r="JUP38" s="704"/>
      <c r="JUQ38" s="704"/>
      <c r="JUR38" s="704"/>
      <c r="JUS38" s="704"/>
      <c r="JUT38" s="704"/>
      <c r="JUU38" s="704"/>
      <c r="JUV38" s="704"/>
      <c r="JUW38" s="704"/>
      <c r="JUX38" s="704"/>
      <c r="JUY38" s="704"/>
      <c r="JUZ38" s="704"/>
      <c r="JVA38" s="704"/>
      <c r="JVB38" s="704"/>
      <c r="JVC38" s="704"/>
      <c r="JVD38" s="704"/>
      <c r="JVE38" s="704"/>
      <c r="JVF38" s="704"/>
      <c r="JVG38" s="704"/>
      <c r="JVH38" s="704"/>
      <c r="JVI38" s="704"/>
      <c r="JVJ38" s="704"/>
      <c r="JVK38" s="704"/>
      <c r="JVL38" s="704"/>
      <c r="JVM38" s="704"/>
      <c r="JVN38" s="704"/>
      <c r="JVO38" s="704"/>
      <c r="JVP38" s="704"/>
      <c r="JVQ38" s="704"/>
      <c r="JVR38" s="704"/>
      <c r="JVS38" s="704"/>
      <c r="JVT38" s="704"/>
      <c r="JVU38" s="704"/>
      <c r="JVV38" s="704"/>
      <c r="JVW38" s="704"/>
      <c r="JVX38" s="704"/>
      <c r="JVY38" s="704"/>
      <c r="JVZ38" s="704"/>
      <c r="JWA38" s="704"/>
      <c r="JWB38" s="704"/>
      <c r="JWC38" s="704"/>
      <c r="JWD38" s="704"/>
      <c r="JWE38" s="704"/>
      <c r="JWF38" s="704"/>
      <c r="JWG38" s="704"/>
      <c r="JWH38" s="704"/>
      <c r="JWI38" s="704"/>
      <c r="JWJ38" s="704"/>
      <c r="JWK38" s="704"/>
      <c r="JWL38" s="704"/>
      <c r="JWM38" s="704"/>
      <c r="JWN38" s="704"/>
      <c r="JWO38" s="704"/>
      <c r="JWP38" s="704"/>
      <c r="JWQ38" s="704"/>
      <c r="JWR38" s="704"/>
      <c r="JWS38" s="704"/>
      <c r="JWT38" s="704"/>
      <c r="JWU38" s="704"/>
      <c r="JWV38" s="704"/>
      <c r="JWW38" s="704"/>
      <c r="JWX38" s="704"/>
      <c r="JWY38" s="704"/>
      <c r="JWZ38" s="704"/>
      <c r="JXA38" s="704"/>
      <c r="JXB38" s="704"/>
      <c r="JXC38" s="704"/>
      <c r="JXD38" s="704"/>
      <c r="JXE38" s="704"/>
      <c r="JXF38" s="704"/>
      <c r="JXG38" s="704"/>
      <c r="JXH38" s="704"/>
      <c r="JXI38" s="704"/>
      <c r="JXJ38" s="704"/>
      <c r="JXK38" s="704"/>
      <c r="JXL38" s="704"/>
      <c r="JXM38" s="704"/>
      <c r="JXN38" s="704"/>
      <c r="JXO38" s="704"/>
      <c r="JXP38" s="704"/>
      <c r="JXQ38" s="704"/>
      <c r="JXR38" s="704"/>
      <c r="JXS38" s="704"/>
      <c r="JXT38" s="704"/>
      <c r="JXU38" s="704"/>
      <c r="JXV38" s="704"/>
      <c r="JXW38" s="704"/>
      <c r="JXX38" s="704"/>
      <c r="JXY38" s="704"/>
      <c r="JXZ38" s="704"/>
      <c r="JYA38" s="704"/>
      <c r="JYB38" s="704"/>
      <c r="JYC38" s="704"/>
      <c r="JYD38" s="704"/>
      <c r="JYE38" s="704"/>
      <c r="JYF38" s="704"/>
      <c r="JYG38" s="704"/>
      <c r="JYH38" s="704"/>
      <c r="JYI38" s="704"/>
      <c r="JYJ38" s="704"/>
      <c r="JYK38" s="704"/>
      <c r="JYL38" s="704"/>
      <c r="JYM38" s="704"/>
      <c r="JYN38" s="704"/>
      <c r="JYO38" s="704"/>
      <c r="JYP38" s="704"/>
      <c r="JYQ38" s="704"/>
      <c r="JYR38" s="704"/>
      <c r="JYS38" s="704"/>
      <c r="JYT38" s="704"/>
      <c r="JYU38" s="704"/>
      <c r="JYV38" s="704"/>
      <c r="JYW38" s="704"/>
      <c r="JYX38" s="704"/>
      <c r="JYY38" s="704"/>
      <c r="JYZ38" s="704"/>
      <c r="JZA38" s="704"/>
      <c r="JZB38" s="704"/>
      <c r="JZC38" s="704"/>
      <c r="JZD38" s="704"/>
      <c r="JZE38" s="704"/>
      <c r="JZF38" s="704"/>
      <c r="JZG38" s="704"/>
      <c r="JZH38" s="704"/>
      <c r="JZI38" s="704"/>
      <c r="JZJ38" s="704"/>
      <c r="JZK38" s="704"/>
      <c r="JZL38" s="704"/>
      <c r="JZM38" s="704"/>
      <c r="JZN38" s="704"/>
      <c r="JZO38" s="704"/>
      <c r="JZP38" s="704"/>
      <c r="JZQ38" s="704"/>
      <c r="JZR38" s="704"/>
      <c r="JZS38" s="704"/>
      <c r="JZT38" s="704"/>
      <c r="JZU38" s="704"/>
      <c r="JZV38" s="704"/>
      <c r="JZW38" s="704"/>
      <c r="JZX38" s="704"/>
      <c r="JZY38" s="704"/>
      <c r="JZZ38" s="704"/>
      <c r="KAA38" s="704"/>
      <c r="KAB38" s="704"/>
      <c r="KAC38" s="704"/>
      <c r="KAD38" s="704"/>
      <c r="KAE38" s="704"/>
      <c r="KAF38" s="704"/>
      <c r="KAG38" s="704"/>
      <c r="KAH38" s="704"/>
      <c r="KAI38" s="704"/>
      <c r="KAJ38" s="704"/>
      <c r="KAK38" s="704"/>
      <c r="KAL38" s="704"/>
      <c r="KAM38" s="704"/>
      <c r="KAN38" s="704"/>
      <c r="KAO38" s="704"/>
      <c r="KAP38" s="704"/>
      <c r="KAQ38" s="704"/>
      <c r="KAR38" s="704"/>
      <c r="KAS38" s="704"/>
      <c r="KAT38" s="704"/>
      <c r="KAU38" s="704"/>
      <c r="KAV38" s="704"/>
      <c r="KAW38" s="704"/>
      <c r="KAX38" s="704"/>
      <c r="KAY38" s="704"/>
      <c r="KAZ38" s="704"/>
      <c r="KBA38" s="704"/>
      <c r="KBB38" s="704"/>
      <c r="KBC38" s="704"/>
      <c r="KBD38" s="704"/>
      <c r="KBE38" s="704"/>
      <c r="KBF38" s="704"/>
      <c r="KBG38" s="704"/>
      <c r="KBH38" s="704"/>
      <c r="KBI38" s="704"/>
      <c r="KBJ38" s="704"/>
      <c r="KBK38" s="704"/>
      <c r="KBL38" s="704"/>
      <c r="KBM38" s="704"/>
      <c r="KBN38" s="704"/>
      <c r="KBO38" s="704"/>
      <c r="KBP38" s="704"/>
      <c r="KBQ38" s="704"/>
      <c r="KBR38" s="704"/>
      <c r="KBS38" s="704"/>
      <c r="KBT38" s="704"/>
      <c r="KBU38" s="704"/>
      <c r="KBV38" s="704"/>
      <c r="KBW38" s="704"/>
      <c r="KBX38" s="704"/>
      <c r="KBY38" s="704"/>
      <c r="KBZ38" s="704"/>
      <c r="KCA38" s="704"/>
      <c r="KCB38" s="704"/>
      <c r="KCC38" s="704"/>
      <c r="KCD38" s="704"/>
      <c r="KCE38" s="704"/>
      <c r="KCF38" s="704"/>
      <c r="KCG38" s="704"/>
      <c r="KCH38" s="704"/>
      <c r="KCI38" s="704"/>
      <c r="KCJ38" s="704"/>
      <c r="KCK38" s="704"/>
      <c r="KCL38" s="704"/>
      <c r="KCM38" s="704"/>
      <c r="KCN38" s="704"/>
      <c r="KCO38" s="704"/>
      <c r="KCP38" s="704"/>
      <c r="KCQ38" s="704"/>
      <c r="KCR38" s="704"/>
      <c r="KCS38" s="704"/>
      <c r="KCT38" s="704"/>
      <c r="KCU38" s="704"/>
      <c r="KCV38" s="704"/>
      <c r="KCW38" s="704"/>
      <c r="KCX38" s="704"/>
      <c r="KCY38" s="704"/>
      <c r="KCZ38" s="704"/>
      <c r="KDA38" s="704"/>
      <c r="KDB38" s="704"/>
      <c r="KDC38" s="704"/>
      <c r="KDD38" s="704"/>
      <c r="KDE38" s="704"/>
      <c r="KDF38" s="704"/>
      <c r="KDG38" s="704"/>
      <c r="KDH38" s="704"/>
      <c r="KDI38" s="704"/>
      <c r="KDJ38" s="704"/>
      <c r="KDK38" s="704"/>
      <c r="KDL38" s="704"/>
      <c r="KDM38" s="704"/>
      <c r="KDN38" s="704"/>
      <c r="KDO38" s="704"/>
      <c r="KDP38" s="704"/>
      <c r="KDQ38" s="704"/>
      <c r="KDR38" s="704"/>
      <c r="KDS38" s="704"/>
      <c r="KDT38" s="704"/>
      <c r="KDU38" s="704"/>
      <c r="KDV38" s="704"/>
      <c r="KDW38" s="704"/>
      <c r="KDX38" s="704"/>
      <c r="KDY38" s="704"/>
      <c r="KDZ38" s="704"/>
      <c r="KEA38" s="704"/>
      <c r="KEB38" s="704"/>
      <c r="KEC38" s="704"/>
      <c r="KED38" s="704"/>
      <c r="KEE38" s="704"/>
      <c r="KEF38" s="704"/>
      <c r="KEG38" s="704"/>
      <c r="KEH38" s="704"/>
      <c r="KEI38" s="704"/>
      <c r="KEJ38" s="704"/>
      <c r="KEK38" s="704"/>
      <c r="KEL38" s="704"/>
      <c r="KEM38" s="704"/>
      <c r="KEN38" s="704"/>
      <c r="KEO38" s="704"/>
      <c r="KEP38" s="704"/>
      <c r="KEQ38" s="704"/>
      <c r="KER38" s="704"/>
      <c r="KES38" s="704"/>
      <c r="KET38" s="704"/>
      <c r="KEU38" s="704"/>
      <c r="KEV38" s="704"/>
      <c r="KEW38" s="704"/>
      <c r="KEX38" s="704"/>
      <c r="KEY38" s="704"/>
      <c r="KEZ38" s="704"/>
      <c r="KFA38" s="704"/>
      <c r="KFB38" s="704"/>
      <c r="KFC38" s="704"/>
      <c r="KFD38" s="704"/>
      <c r="KFE38" s="704"/>
      <c r="KFF38" s="704"/>
      <c r="KFG38" s="704"/>
      <c r="KFH38" s="704"/>
      <c r="KFI38" s="704"/>
      <c r="KFJ38" s="704"/>
      <c r="KFK38" s="704"/>
      <c r="KFL38" s="704"/>
      <c r="KFM38" s="704"/>
      <c r="KFN38" s="704"/>
      <c r="KFO38" s="704"/>
      <c r="KFP38" s="704"/>
      <c r="KFQ38" s="704"/>
      <c r="KFR38" s="704"/>
      <c r="KFS38" s="704"/>
      <c r="KFT38" s="704"/>
      <c r="KFU38" s="704"/>
      <c r="KFV38" s="704"/>
      <c r="KFW38" s="704"/>
      <c r="KFX38" s="704"/>
      <c r="KFY38" s="704"/>
      <c r="KFZ38" s="704"/>
      <c r="KGA38" s="704"/>
      <c r="KGB38" s="704"/>
      <c r="KGC38" s="704"/>
      <c r="KGD38" s="704"/>
      <c r="KGE38" s="704"/>
      <c r="KGF38" s="704"/>
      <c r="KGG38" s="704"/>
      <c r="KGH38" s="704"/>
      <c r="KGI38" s="704"/>
      <c r="KGJ38" s="704"/>
      <c r="KGK38" s="704"/>
      <c r="KGL38" s="704"/>
      <c r="KGM38" s="704"/>
      <c r="KGN38" s="704"/>
      <c r="KGO38" s="704"/>
      <c r="KGP38" s="704"/>
      <c r="KGQ38" s="704"/>
      <c r="KGR38" s="704"/>
      <c r="KGS38" s="704"/>
      <c r="KGT38" s="704"/>
      <c r="KGU38" s="704"/>
      <c r="KGV38" s="704"/>
      <c r="KGW38" s="704"/>
      <c r="KGX38" s="704"/>
      <c r="KGY38" s="704"/>
      <c r="KGZ38" s="704"/>
      <c r="KHA38" s="704"/>
      <c r="KHB38" s="704"/>
      <c r="KHC38" s="704"/>
      <c r="KHD38" s="704"/>
      <c r="KHE38" s="704"/>
      <c r="KHF38" s="704"/>
      <c r="KHG38" s="704"/>
      <c r="KHH38" s="704"/>
      <c r="KHI38" s="704"/>
      <c r="KHJ38" s="704"/>
      <c r="KHK38" s="704"/>
      <c r="KHL38" s="704"/>
      <c r="KHM38" s="704"/>
      <c r="KHN38" s="704"/>
      <c r="KHO38" s="704"/>
      <c r="KHP38" s="704"/>
      <c r="KHQ38" s="704"/>
      <c r="KHR38" s="704"/>
      <c r="KHS38" s="704"/>
      <c r="KHT38" s="704"/>
      <c r="KHU38" s="704"/>
      <c r="KHV38" s="704"/>
      <c r="KHW38" s="704"/>
      <c r="KHX38" s="704"/>
      <c r="KHY38" s="704"/>
      <c r="KHZ38" s="704"/>
      <c r="KIA38" s="704"/>
      <c r="KIB38" s="704"/>
      <c r="KIC38" s="704"/>
      <c r="KID38" s="704"/>
      <c r="KIE38" s="704"/>
      <c r="KIF38" s="704"/>
      <c r="KIG38" s="704"/>
      <c r="KIH38" s="704"/>
      <c r="KII38" s="704"/>
      <c r="KIJ38" s="704"/>
      <c r="KIK38" s="704"/>
      <c r="KIL38" s="704"/>
      <c r="KIM38" s="704"/>
      <c r="KIN38" s="704"/>
      <c r="KIO38" s="704"/>
      <c r="KIP38" s="704"/>
      <c r="KIQ38" s="704"/>
      <c r="KIR38" s="704"/>
      <c r="KIS38" s="704"/>
      <c r="KIT38" s="704"/>
      <c r="KIU38" s="704"/>
      <c r="KIV38" s="704"/>
      <c r="KIW38" s="704"/>
      <c r="KIX38" s="704"/>
      <c r="KIY38" s="704"/>
      <c r="KIZ38" s="704"/>
      <c r="KJA38" s="704"/>
      <c r="KJB38" s="704"/>
      <c r="KJC38" s="704"/>
      <c r="KJD38" s="704"/>
      <c r="KJE38" s="704"/>
      <c r="KJF38" s="704"/>
      <c r="KJG38" s="704"/>
      <c r="KJH38" s="704"/>
      <c r="KJI38" s="704"/>
      <c r="KJJ38" s="704"/>
      <c r="KJK38" s="704"/>
      <c r="KJL38" s="704"/>
      <c r="KJM38" s="704"/>
      <c r="KJN38" s="704"/>
      <c r="KJO38" s="704"/>
      <c r="KJP38" s="704"/>
      <c r="KJQ38" s="704"/>
      <c r="KJR38" s="704"/>
      <c r="KJS38" s="704"/>
      <c r="KJT38" s="704"/>
      <c r="KJU38" s="704"/>
      <c r="KJV38" s="704"/>
      <c r="KJW38" s="704"/>
      <c r="KJX38" s="704"/>
      <c r="KJY38" s="704"/>
      <c r="KJZ38" s="704"/>
      <c r="KKA38" s="704"/>
      <c r="KKB38" s="704"/>
      <c r="KKC38" s="704"/>
      <c r="KKD38" s="704"/>
      <c r="KKE38" s="704"/>
      <c r="KKF38" s="704"/>
      <c r="KKG38" s="704"/>
      <c r="KKH38" s="704"/>
      <c r="KKI38" s="704"/>
      <c r="KKJ38" s="704"/>
      <c r="KKK38" s="704"/>
      <c r="KKL38" s="704"/>
      <c r="KKM38" s="704"/>
      <c r="KKN38" s="704"/>
      <c r="KKO38" s="704"/>
      <c r="KKP38" s="704"/>
      <c r="KKQ38" s="704"/>
      <c r="KKR38" s="704"/>
      <c r="KKS38" s="704"/>
      <c r="KKT38" s="704"/>
      <c r="KKU38" s="704"/>
      <c r="KKV38" s="704"/>
      <c r="KKW38" s="704"/>
      <c r="KKX38" s="704"/>
      <c r="KKY38" s="704"/>
      <c r="KKZ38" s="704"/>
      <c r="KLA38" s="704"/>
      <c r="KLB38" s="704"/>
      <c r="KLC38" s="704"/>
      <c r="KLD38" s="704"/>
      <c r="KLE38" s="704"/>
      <c r="KLF38" s="704"/>
      <c r="KLG38" s="704"/>
      <c r="KLH38" s="704"/>
      <c r="KLI38" s="704"/>
      <c r="KLJ38" s="704"/>
      <c r="KLK38" s="704"/>
      <c r="KLL38" s="704"/>
      <c r="KLM38" s="704"/>
      <c r="KLN38" s="704"/>
      <c r="KLO38" s="704"/>
      <c r="KLP38" s="704"/>
      <c r="KLQ38" s="704"/>
      <c r="KLR38" s="704"/>
      <c r="KLS38" s="704"/>
      <c r="KLT38" s="704"/>
      <c r="KLU38" s="704"/>
      <c r="KLV38" s="704"/>
      <c r="KLW38" s="704"/>
      <c r="KLX38" s="704"/>
      <c r="KLY38" s="704"/>
      <c r="KLZ38" s="704"/>
      <c r="KMA38" s="704"/>
      <c r="KMB38" s="704"/>
      <c r="KMC38" s="704"/>
      <c r="KMD38" s="704"/>
      <c r="KME38" s="704"/>
      <c r="KMF38" s="704"/>
      <c r="KMG38" s="704"/>
      <c r="KMH38" s="704"/>
      <c r="KMI38" s="704"/>
      <c r="KMJ38" s="704"/>
      <c r="KMK38" s="704"/>
      <c r="KML38" s="704"/>
      <c r="KMM38" s="704"/>
      <c r="KMN38" s="704"/>
      <c r="KMO38" s="704"/>
      <c r="KMP38" s="704"/>
      <c r="KMQ38" s="704"/>
      <c r="KMR38" s="704"/>
      <c r="KMS38" s="704"/>
      <c r="KMT38" s="704"/>
      <c r="KMU38" s="704"/>
      <c r="KMV38" s="704"/>
      <c r="KMW38" s="704"/>
      <c r="KMX38" s="704"/>
      <c r="KMY38" s="704"/>
      <c r="KMZ38" s="704"/>
      <c r="KNA38" s="704"/>
      <c r="KNB38" s="704"/>
      <c r="KNC38" s="704"/>
      <c r="KND38" s="704"/>
      <c r="KNE38" s="704"/>
      <c r="KNF38" s="704"/>
      <c r="KNG38" s="704"/>
      <c r="KNH38" s="704"/>
      <c r="KNI38" s="704"/>
      <c r="KNJ38" s="704"/>
      <c r="KNK38" s="704"/>
      <c r="KNL38" s="704"/>
      <c r="KNM38" s="704"/>
      <c r="KNN38" s="704"/>
      <c r="KNO38" s="704"/>
      <c r="KNP38" s="704"/>
      <c r="KNQ38" s="704"/>
      <c r="KNR38" s="704"/>
      <c r="KNS38" s="704"/>
      <c r="KNT38" s="704"/>
      <c r="KNU38" s="704"/>
      <c r="KNV38" s="704"/>
      <c r="KNW38" s="704"/>
      <c r="KNX38" s="704"/>
      <c r="KNY38" s="704"/>
      <c r="KNZ38" s="704"/>
      <c r="KOA38" s="704"/>
      <c r="KOB38" s="704"/>
      <c r="KOC38" s="704"/>
      <c r="KOD38" s="704"/>
      <c r="KOE38" s="704"/>
      <c r="KOF38" s="704"/>
      <c r="KOG38" s="704"/>
      <c r="KOH38" s="704"/>
      <c r="KOI38" s="704"/>
      <c r="KOJ38" s="704"/>
      <c r="KOK38" s="704"/>
      <c r="KOL38" s="704"/>
      <c r="KOM38" s="704"/>
      <c r="KON38" s="704"/>
      <c r="KOO38" s="704"/>
      <c r="KOP38" s="704"/>
      <c r="KOQ38" s="704"/>
      <c r="KOR38" s="704"/>
      <c r="KOS38" s="704"/>
      <c r="KOT38" s="704"/>
      <c r="KOU38" s="704"/>
      <c r="KOV38" s="704"/>
      <c r="KOW38" s="704"/>
      <c r="KOX38" s="704"/>
      <c r="KOY38" s="704"/>
      <c r="KOZ38" s="704"/>
      <c r="KPA38" s="704"/>
      <c r="KPB38" s="704"/>
      <c r="KPC38" s="704"/>
      <c r="KPD38" s="704"/>
      <c r="KPE38" s="704"/>
      <c r="KPF38" s="704"/>
      <c r="KPG38" s="704"/>
      <c r="KPH38" s="704"/>
      <c r="KPI38" s="704"/>
      <c r="KPJ38" s="704"/>
      <c r="KPK38" s="704"/>
      <c r="KPL38" s="704"/>
      <c r="KPM38" s="704"/>
      <c r="KPN38" s="704"/>
      <c r="KPO38" s="704"/>
      <c r="KPP38" s="704"/>
      <c r="KPQ38" s="704"/>
      <c r="KPR38" s="704"/>
      <c r="KPS38" s="704"/>
      <c r="KPT38" s="704"/>
      <c r="KPU38" s="704"/>
      <c r="KPV38" s="704"/>
      <c r="KPW38" s="704"/>
      <c r="KPX38" s="704"/>
      <c r="KPY38" s="704"/>
      <c r="KPZ38" s="704"/>
      <c r="KQA38" s="704"/>
      <c r="KQB38" s="704"/>
      <c r="KQC38" s="704"/>
      <c r="KQD38" s="704"/>
      <c r="KQE38" s="704"/>
      <c r="KQF38" s="704"/>
      <c r="KQG38" s="704"/>
      <c r="KQH38" s="704"/>
      <c r="KQI38" s="704"/>
      <c r="KQJ38" s="704"/>
      <c r="KQK38" s="704"/>
      <c r="KQL38" s="704"/>
      <c r="KQM38" s="704"/>
      <c r="KQN38" s="704"/>
      <c r="KQO38" s="704"/>
      <c r="KQP38" s="704"/>
      <c r="KQQ38" s="704"/>
      <c r="KQR38" s="704"/>
      <c r="KQS38" s="704"/>
      <c r="KQT38" s="704"/>
      <c r="KQU38" s="704"/>
      <c r="KQV38" s="704"/>
      <c r="KQW38" s="704"/>
      <c r="KQX38" s="704"/>
      <c r="KQY38" s="704"/>
      <c r="KQZ38" s="704"/>
      <c r="KRA38" s="704"/>
      <c r="KRB38" s="704"/>
      <c r="KRC38" s="704"/>
      <c r="KRD38" s="704"/>
      <c r="KRE38" s="704"/>
      <c r="KRF38" s="704"/>
      <c r="KRG38" s="704"/>
      <c r="KRH38" s="704"/>
      <c r="KRI38" s="704"/>
      <c r="KRJ38" s="704"/>
      <c r="KRK38" s="704"/>
      <c r="KRL38" s="704"/>
      <c r="KRM38" s="704"/>
      <c r="KRN38" s="704"/>
      <c r="KRO38" s="704"/>
      <c r="KRP38" s="704"/>
      <c r="KRQ38" s="704"/>
      <c r="KRR38" s="704"/>
      <c r="KRS38" s="704"/>
      <c r="KRT38" s="704"/>
      <c r="KRU38" s="704"/>
      <c r="KRV38" s="704"/>
      <c r="KRW38" s="704"/>
      <c r="KRX38" s="704"/>
      <c r="KRY38" s="704"/>
      <c r="KRZ38" s="704"/>
      <c r="KSA38" s="704"/>
      <c r="KSB38" s="704"/>
      <c r="KSC38" s="704"/>
      <c r="KSD38" s="704"/>
      <c r="KSE38" s="704"/>
      <c r="KSF38" s="704"/>
      <c r="KSG38" s="704"/>
      <c r="KSH38" s="704"/>
      <c r="KSI38" s="704"/>
      <c r="KSJ38" s="704"/>
      <c r="KSK38" s="704"/>
      <c r="KSL38" s="704"/>
      <c r="KSM38" s="704"/>
      <c r="KSN38" s="704"/>
      <c r="KSO38" s="704"/>
      <c r="KSP38" s="704"/>
      <c r="KSQ38" s="704"/>
      <c r="KSR38" s="704"/>
      <c r="KSS38" s="704"/>
      <c r="KST38" s="704"/>
      <c r="KSU38" s="704"/>
      <c r="KSV38" s="704"/>
      <c r="KSW38" s="704"/>
      <c r="KSX38" s="704"/>
      <c r="KSY38" s="704"/>
      <c r="KSZ38" s="704"/>
      <c r="KTA38" s="704"/>
      <c r="KTB38" s="704"/>
      <c r="KTC38" s="704"/>
      <c r="KTD38" s="704"/>
      <c r="KTE38" s="704"/>
      <c r="KTF38" s="704"/>
      <c r="KTG38" s="704"/>
      <c r="KTH38" s="704"/>
      <c r="KTI38" s="704"/>
      <c r="KTJ38" s="704"/>
      <c r="KTK38" s="704"/>
      <c r="KTL38" s="704"/>
      <c r="KTM38" s="704"/>
      <c r="KTN38" s="704"/>
      <c r="KTO38" s="704"/>
      <c r="KTP38" s="704"/>
      <c r="KTQ38" s="704"/>
      <c r="KTR38" s="704"/>
      <c r="KTS38" s="704"/>
      <c r="KTT38" s="704"/>
      <c r="KTU38" s="704"/>
      <c r="KTV38" s="704"/>
      <c r="KTW38" s="704"/>
      <c r="KTX38" s="704"/>
      <c r="KTY38" s="704"/>
      <c r="KTZ38" s="704"/>
      <c r="KUA38" s="704"/>
      <c r="KUB38" s="704"/>
      <c r="KUC38" s="704"/>
      <c r="KUD38" s="704"/>
      <c r="KUE38" s="704"/>
      <c r="KUF38" s="704"/>
      <c r="KUG38" s="704"/>
      <c r="KUH38" s="704"/>
      <c r="KUI38" s="704"/>
      <c r="KUJ38" s="704"/>
      <c r="KUK38" s="704"/>
      <c r="KUL38" s="704"/>
      <c r="KUM38" s="704"/>
      <c r="KUN38" s="704"/>
      <c r="KUO38" s="704"/>
      <c r="KUP38" s="704"/>
      <c r="KUQ38" s="704"/>
      <c r="KUR38" s="704"/>
      <c r="KUS38" s="704"/>
      <c r="KUT38" s="704"/>
      <c r="KUU38" s="704"/>
      <c r="KUV38" s="704"/>
      <c r="KUW38" s="704"/>
      <c r="KUX38" s="704"/>
      <c r="KUY38" s="704"/>
      <c r="KUZ38" s="704"/>
      <c r="KVA38" s="704"/>
      <c r="KVB38" s="704"/>
      <c r="KVC38" s="704"/>
      <c r="KVD38" s="704"/>
      <c r="KVE38" s="704"/>
      <c r="KVF38" s="704"/>
      <c r="KVG38" s="704"/>
      <c r="KVH38" s="704"/>
      <c r="KVI38" s="704"/>
      <c r="KVJ38" s="704"/>
      <c r="KVK38" s="704"/>
      <c r="KVL38" s="704"/>
      <c r="KVM38" s="704"/>
      <c r="KVN38" s="704"/>
      <c r="KVO38" s="704"/>
      <c r="KVP38" s="704"/>
      <c r="KVQ38" s="704"/>
      <c r="KVR38" s="704"/>
      <c r="KVS38" s="704"/>
      <c r="KVT38" s="704"/>
      <c r="KVU38" s="704"/>
      <c r="KVV38" s="704"/>
      <c r="KVW38" s="704"/>
      <c r="KVX38" s="704"/>
      <c r="KVY38" s="704"/>
      <c r="KVZ38" s="704"/>
      <c r="KWA38" s="704"/>
      <c r="KWB38" s="704"/>
      <c r="KWC38" s="704"/>
      <c r="KWD38" s="704"/>
      <c r="KWE38" s="704"/>
      <c r="KWF38" s="704"/>
      <c r="KWG38" s="704"/>
      <c r="KWH38" s="704"/>
      <c r="KWI38" s="704"/>
      <c r="KWJ38" s="704"/>
      <c r="KWK38" s="704"/>
      <c r="KWL38" s="704"/>
      <c r="KWM38" s="704"/>
      <c r="KWN38" s="704"/>
      <c r="KWO38" s="704"/>
      <c r="KWP38" s="704"/>
      <c r="KWQ38" s="704"/>
      <c r="KWR38" s="704"/>
      <c r="KWS38" s="704"/>
      <c r="KWT38" s="704"/>
      <c r="KWU38" s="704"/>
      <c r="KWV38" s="704"/>
      <c r="KWW38" s="704"/>
      <c r="KWX38" s="704"/>
      <c r="KWY38" s="704"/>
      <c r="KWZ38" s="704"/>
      <c r="KXA38" s="704"/>
      <c r="KXB38" s="704"/>
      <c r="KXC38" s="704"/>
      <c r="KXD38" s="704"/>
      <c r="KXE38" s="704"/>
      <c r="KXF38" s="704"/>
      <c r="KXG38" s="704"/>
      <c r="KXH38" s="704"/>
      <c r="KXI38" s="704"/>
      <c r="KXJ38" s="704"/>
      <c r="KXK38" s="704"/>
      <c r="KXL38" s="704"/>
      <c r="KXM38" s="704"/>
      <c r="KXN38" s="704"/>
      <c r="KXO38" s="704"/>
      <c r="KXP38" s="704"/>
      <c r="KXQ38" s="704"/>
      <c r="KXR38" s="704"/>
      <c r="KXS38" s="704"/>
      <c r="KXT38" s="704"/>
      <c r="KXU38" s="704"/>
      <c r="KXV38" s="704"/>
      <c r="KXW38" s="704"/>
      <c r="KXX38" s="704"/>
      <c r="KXY38" s="704"/>
      <c r="KXZ38" s="704"/>
      <c r="KYA38" s="704"/>
      <c r="KYB38" s="704"/>
      <c r="KYC38" s="704"/>
      <c r="KYD38" s="704"/>
      <c r="KYE38" s="704"/>
      <c r="KYF38" s="704"/>
      <c r="KYG38" s="704"/>
      <c r="KYH38" s="704"/>
      <c r="KYI38" s="704"/>
      <c r="KYJ38" s="704"/>
      <c r="KYK38" s="704"/>
      <c r="KYL38" s="704"/>
      <c r="KYM38" s="704"/>
      <c r="KYN38" s="704"/>
      <c r="KYO38" s="704"/>
      <c r="KYP38" s="704"/>
      <c r="KYQ38" s="704"/>
      <c r="KYR38" s="704"/>
      <c r="KYS38" s="704"/>
      <c r="KYT38" s="704"/>
      <c r="KYU38" s="704"/>
      <c r="KYV38" s="704"/>
      <c r="KYW38" s="704"/>
      <c r="KYX38" s="704"/>
      <c r="KYY38" s="704"/>
      <c r="KYZ38" s="704"/>
      <c r="KZA38" s="704"/>
      <c r="KZB38" s="704"/>
      <c r="KZC38" s="704"/>
      <c r="KZD38" s="704"/>
      <c r="KZE38" s="704"/>
      <c r="KZF38" s="704"/>
      <c r="KZG38" s="704"/>
      <c r="KZH38" s="704"/>
      <c r="KZI38" s="704"/>
      <c r="KZJ38" s="704"/>
      <c r="KZK38" s="704"/>
      <c r="KZL38" s="704"/>
      <c r="KZM38" s="704"/>
      <c r="KZN38" s="704"/>
      <c r="KZO38" s="704"/>
      <c r="KZP38" s="704"/>
      <c r="KZQ38" s="704"/>
      <c r="KZR38" s="704"/>
      <c r="KZS38" s="704"/>
      <c r="KZT38" s="704"/>
      <c r="KZU38" s="704"/>
      <c r="KZV38" s="704"/>
      <c r="KZW38" s="704"/>
      <c r="KZX38" s="704"/>
      <c r="KZY38" s="704"/>
      <c r="KZZ38" s="704"/>
      <c r="LAA38" s="704"/>
      <c r="LAB38" s="704"/>
      <c r="LAC38" s="704"/>
      <c r="LAD38" s="704"/>
      <c r="LAE38" s="704"/>
      <c r="LAF38" s="704"/>
      <c r="LAG38" s="704"/>
      <c r="LAH38" s="704"/>
      <c r="LAI38" s="704"/>
      <c r="LAJ38" s="704"/>
      <c r="LAK38" s="704"/>
      <c r="LAL38" s="704"/>
      <c r="LAM38" s="704"/>
      <c r="LAN38" s="704"/>
      <c r="LAO38" s="704"/>
      <c r="LAP38" s="704"/>
      <c r="LAQ38" s="704"/>
      <c r="LAR38" s="704"/>
      <c r="LAS38" s="704"/>
      <c r="LAT38" s="704"/>
      <c r="LAU38" s="704"/>
      <c r="LAV38" s="704"/>
      <c r="LAW38" s="704"/>
      <c r="LAX38" s="704"/>
      <c r="LAY38" s="704"/>
      <c r="LAZ38" s="704"/>
      <c r="LBA38" s="704"/>
      <c r="LBB38" s="704"/>
      <c r="LBC38" s="704"/>
      <c r="LBD38" s="704"/>
      <c r="LBE38" s="704"/>
      <c r="LBF38" s="704"/>
      <c r="LBG38" s="704"/>
      <c r="LBH38" s="704"/>
      <c r="LBI38" s="704"/>
      <c r="LBJ38" s="704"/>
      <c r="LBK38" s="704"/>
      <c r="LBL38" s="704"/>
      <c r="LBM38" s="704"/>
      <c r="LBN38" s="704"/>
      <c r="LBO38" s="704"/>
      <c r="LBP38" s="704"/>
      <c r="LBQ38" s="704"/>
      <c r="LBR38" s="704"/>
      <c r="LBS38" s="704"/>
      <c r="LBT38" s="704"/>
      <c r="LBU38" s="704"/>
      <c r="LBV38" s="704"/>
      <c r="LBW38" s="704"/>
      <c r="LBX38" s="704"/>
      <c r="LBY38" s="704"/>
      <c r="LBZ38" s="704"/>
      <c r="LCA38" s="704"/>
      <c r="LCB38" s="704"/>
      <c r="LCC38" s="704"/>
      <c r="LCD38" s="704"/>
      <c r="LCE38" s="704"/>
      <c r="LCF38" s="704"/>
      <c r="LCG38" s="704"/>
      <c r="LCH38" s="704"/>
      <c r="LCI38" s="704"/>
      <c r="LCJ38" s="704"/>
      <c r="LCK38" s="704"/>
      <c r="LCL38" s="704"/>
      <c r="LCM38" s="704"/>
      <c r="LCN38" s="704"/>
      <c r="LCO38" s="704"/>
      <c r="LCP38" s="704"/>
      <c r="LCQ38" s="704"/>
      <c r="LCR38" s="704"/>
      <c r="LCS38" s="704"/>
      <c r="LCT38" s="704"/>
      <c r="LCU38" s="704"/>
      <c r="LCV38" s="704"/>
      <c r="LCW38" s="704"/>
      <c r="LCX38" s="704"/>
      <c r="LCY38" s="704"/>
      <c r="LCZ38" s="704"/>
      <c r="LDA38" s="704"/>
      <c r="LDB38" s="704"/>
      <c r="LDC38" s="704"/>
      <c r="LDD38" s="704"/>
      <c r="LDE38" s="704"/>
      <c r="LDF38" s="704"/>
      <c r="LDG38" s="704"/>
      <c r="LDH38" s="704"/>
      <c r="LDI38" s="704"/>
      <c r="LDJ38" s="704"/>
      <c r="LDK38" s="704"/>
      <c r="LDL38" s="704"/>
      <c r="LDM38" s="704"/>
      <c r="LDN38" s="704"/>
      <c r="LDO38" s="704"/>
      <c r="LDP38" s="704"/>
      <c r="LDQ38" s="704"/>
      <c r="LDR38" s="704"/>
      <c r="LDS38" s="704"/>
      <c r="LDT38" s="704"/>
      <c r="LDU38" s="704"/>
      <c r="LDV38" s="704"/>
      <c r="LDW38" s="704"/>
      <c r="LDX38" s="704"/>
      <c r="LDY38" s="704"/>
      <c r="LDZ38" s="704"/>
      <c r="LEA38" s="704"/>
      <c r="LEB38" s="704"/>
      <c r="LEC38" s="704"/>
      <c r="LED38" s="704"/>
      <c r="LEE38" s="704"/>
      <c r="LEF38" s="704"/>
      <c r="LEG38" s="704"/>
      <c r="LEH38" s="704"/>
      <c r="LEI38" s="704"/>
      <c r="LEJ38" s="704"/>
      <c r="LEK38" s="704"/>
      <c r="LEL38" s="704"/>
      <c r="LEM38" s="704"/>
      <c r="LEN38" s="704"/>
      <c r="LEO38" s="704"/>
      <c r="LEP38" s="704"/>
      <c r="LEQ38" s="704"/>
      <c r="LER38" s="704"/>
      <c r="LES38" s="704"/>
      <c r="LET38" s="704"/>
      <c r="LEU38" s="704"/>
      <c r="LEV38" s="704"/>
      <c r="LEW38" s="704"/>
      <c r="LEX38" s="704"/>
      <c r="LEY38" s="704"/>
      <c r="LEZ38" s="704"/>
      <c r="LFA38" s="704"/>
      <c r="LFB38" s="704"/>
      <c r="LFC38" s="704"/>
      <c r="LFD38" s="704"/>
      <c r="LFE38" s="704"/>
      <c r="LFF38" s="704"/>
      <c r="LFG38" s="704"/>
      <c r="LFH38" s="704"/>
      <c r="LFI38" s="704"/>
      <c r="LFJ38" s="704"/>
      <c r="LFK38" s="704"/>
      <c r="LFL38" s="704"/>
      <c r="LFM38" s="704"/>
      <c r="LFN38" s="704"/>
      <c r="LFO38" s="704"/>
      <c r="LFP38" s="704"/>
      <c r="LFQ38" s="704"/>
      <c r="LFR38" s="704"/>
      <c r="LFS38" s="704"/>
      <c r="LFT38" s="704"/>
      <c r="LFU38" s="704"/>
      <c r="LFV38" s="704"/>
      <c r="LFW38" s="704"/>
      <c r="LFX38" s="704"/>
      <c r="LFY38" s="704"/>
      <c r="LFZ38" s="704"/>
      <c r="LGA38" s="704"/>
      <c r="LGB38" s="704"/>
      <c r="LGC38" s="704"/>
      <c r="LGD38" s="704"/>
      <c r="LGE38" s="704"/>
      <c r="LGF38" s="704"/>
      <c r="LGG38" s="704"/>
      <c r="LGH38" s="704"/>
      <c r="LGI38" s="704"/>
      <c r="LGJ38" s="704"/>
      <c r="LGK38" s="704"/>
      <c r="LGL38" s="704"/>
      <c r="LGM38" s="704"/>
      <c r="LGN38" s="704"/>
      <c r="LGO38" s="704"/>
      <c r="LGP38" s="704"/>
      <c r="LGQ38" s="704"/>
      <c r="LGR38" s="704"/>
      <c r="LGS38" s="704"/>
      <c r="LGT38" s="704"/>
      <c r="LGU38" s="704"/>
      <c r="LGV38" s="704"/>
      <c r="LGW38" s="704"/>
      <c r="LGX38" s="704"/>
      <c r="LGY38" s="704"/>
      <c r="LGZ38" s="704"/>
      <c r="LHA38" s="704"/>
      <c r="LHB38" s="704"/>
      <c r="LHC38" s="704"/>
      <c r="LHD38" s="704"/>
      <c r="LHE38" s="704"/>
      <c r="LHF38" s="704"/>
      <c r="LHG38" s="704"/>
      <c r="LHH38" s="704"/>
      <c r="LHI38" s="704"/>
      <c r="LHJ38" s="704"/>
      <c r="LHK38" s="704"/>
      <c r="LHL38" s="704"/>
      <c r="LHM38" s="704"/>
      <c r="LHN38" s="704"/>
      <c r="LHO38" s="704"/>
      <c r="LHP38" s="704"/>
      <c r="LHQ38" s="704"/>
      <c r="LHR38" s="704"/>
      <c r="LHS38" s="704"/>
      <c r="LHT38" s="704"/>
      <c r="LHU38" s="704"/>
      <c r="LHV38" s="704"/>
      <c r="LHW38" s="704"/>
      <c r="LHX38" s="704"/>
      <c r="LHY38" s="704"/>
      <c r="LHZ38" s="704"/>
      <c r="LIA38" s="704"/>
      <c r="LIB38" s="704"/>
      <c r="LIC38" s="704"/>
      <c r="LID38" s="704"/>
      <c r="LIE38" s="704"/>
      <c r="LIF38" s="704"/>
      <c r="LIG38" s="704"/>
      <c r="LIH38" s="704"/>
      <c r="LII38" s="704"/>
      <c r="LIJ38" s="704"/>
      <c r="LIK38" s="704"/>
      <c r="LIL38" s="704"/>
      <c r="LIM38" s="704"/>
      <c r="LIN38" s="704"/>
      <c r="LIO38" s="704"/>
      <c r="LIP38" s="704"/>
      <c r="LIQ38" s="704"/>
      <c r="LIR38" s="704"/>
      <c r="LIS38" s="704"/>
      <c r="LIT38" s="704"/>
      <c r="LIU38" s="704"/>
      <c r="LIV38" s="704"/>
      <c r="LIW38" s="704"/>
      <c r="LIX38" s="704"/>
      <c r="LIY38" s="704"/>
      <c r="LIZ38" s="704"/>
      <c r="LJA38" s="704"/>
      <c r="LJB38" s="704"/>
      <c r="LJC38" s="704"/>
      <c r="LJD38" s="704"/>
      <c r="LJE38" s="704"/>
      <c r="LJF38" s="704"/>
      <c r="LJG38" s="704"/>
      <c r="LJH38" s="704"/>
      <c r="LJI38" s="704"/>
      <c r="LJJ38" s="704"/>
      <c r="LJK38" s="704"/>
      <c r="LJL38" s="704"/>
      <c r="LJM38" s="704"/>
      <c r="LJN38" s="704"/>
      <c r="LJO38" s="704"/>
      <c r="LJP38" s="704"/>
      <c r="LJQ38" s="704"/>
      <c r="LJR38" s="704"/>
      <c r="LJS38" s="704"/>
      <c r="LJT38" s="704"/>
      <c r="LJU38" s="704"/>
      <c r="LJV38" s="704"/>
      <c r="LJW38" s="704"/>
      <c r="LJX38" s="704"/>
      <c r="LJY38" s="704"/>
      <c r="LJZ38" s="704"/>
      <c r="LKA38" s="704"/>
      <c r="LKB38" s="704"/>
      <c r="LKC38" s="704"/>
      <c r="LKD38" s="704"/>
      <c r="LKE38" s="704"/>
      <c r="LKF38" s="704"/>
      <c r="LKG38" s="704"/>
      <c r="LKH38" s="704"/>
      <c r="LKI38" s="704"/>
      <c r="LKJ38" s="704"/>
      <c r="LKK38" s="704"/>
      <c r="LKL38" s="704"/>
      <c r="LKM38" s="704"/>
      <c r="LKN38" s="704"/>
      <c r="LKO38" s="704"/>
      <c r="LKP38" s="704"/>
      <c r="LKQ38" s="704"/>
      <c r="LKR38" s="704"/>
      <c r="LKS38" s="704"/>
      <c r="LKT38" s="704"/>
      <c r="LKU38" s="704"/>
      <c r="LKV38" s="704"/>
      <c r="LKW38" s="704"/>
      <c r="LKX38" s="704"/>
      <c r="LKY38" s="704"/>
      <c r="LKZ38" s="704"/>
      <c r="LLA38" s="704"/>
      <c r="LLB38" s="704"/>
      <c r="LLC38" s="704"/>
      <c r="LLD38" s="704"/>
      <c r="LLE38" s="704"/>
      <c r="LLF38" s="704"/>
      <c r="LLG38" s="704"/>
      <c r="LLH38" s="704"/>
      <c r="LLI38" s="704"/>
      <c r="LLJ38" s="704"/>
      <c r="LLK38" s="704"/>
      <c r="LLL38" s="704"/>
      <c r="LLM38" s="704"/>
      <c r="LLN38" s="704"/>
      <c r="LLO38" s="704"/>
      <c r="LLP38" s="704"/>
      <c r="LLQ38" s="704"/>
      <c r="LLR38" s="704"/>
      <c r="LLS38" s="704"/>
      <c r="LLT38" s="704"/>
      <c r="LLU38" s="704"/>
      <c r="LLV38" s="704"/>
      <c r="LLW38" s="704"/>
      <c r="LLX38" s="704"/>
      <c r="LLY38" s="704"/>
      <c r="LLZ38" s="704"/>
      <c r="LMA38" s="704"/>
      <c r="LMB38" s="704"/>
      <c r="LMC38" s="704"/>
      <c r="LMD38" s="704"/>
      <c r="LME38" s="704"/>
      <c r="LMF38" s="704"/>
      <c r="LMG38" s="704"/>
      <c r="LMH38" s="704"/>
      <c r="LMI38" s="704"/>
      <c r="LMJ38" s="704"/>
      <c r="LMK38" s="704"/>
      <c r="LML38" s="704"/>
      <c r="LMM38" s="704"/>
      <c r="LMN38" s="704"/>
      <c r="LMO38" s="704"/>
      <c r="LMP38" s="704"/>
      <c r="LMQ38" s="704"/>
      <c r="LMR38" s="704"/>
      <c r="LMS38" s="704"/>
      <c r="LMT38" s="704"/>
      <c r="LMU38" s="704"/>
      <c r="LMV38" s="704"/>
      <c r="LMW38" s="704"/>
      <c r="LMX38" s="704"/>
      <c r="LMY38" s="704"/>
      <c r="LMZ38" s="704"/>
      <c r="LNA38" s="704"/>
      <c r="LNB38" s="704"/>
      <c r="LNC38" s="704"/>
      <c r="LND38" s="704"/>
      <c r="LNE38" s="704"/>
      <c r="LNF38" s="704"/>
      <c r="LNG38" s="704"/>
      <c r="LNH38" s="704"/>
      <c r="LNI38" s="704"/>
      <c r="LNJ38" s="704"/>
      <c r="LNK38" s="704"/>
      <c r="LNL38" s="704"/>
      <c r="LNM38" s="704"/>
      <c r="LNN38" s="704"/>
      <c r="LNO38" s="704"/>
      <c r="LNP38" s="704"/>
      <c r="LNQ38" s="704"/>
      <c r="LNR38" s="704"/>
      <c r="LNS38" s="704"/>
      <c r="LNT38" s="704"/>
      <c r="LNU38" s="704"/>
      <c r="LNV38" s="704"/>
      <c r="LNW38" s="704"/>
      <c r="LNX38" s="704"/>
      <c r="LNY38" s="704"/>
      <c r="LNZ38" s="704"/>
      <c r="LOA38" s="704"/>
      <c r="LOB38" s="704"/>
      <c r="LOC38" s="704"/>
      <c r="LOD38" s="704"/>
      <c r="LOE38" s="704"/>
      <c r="LOF38" s="704"/>
      <c r="LOG38" s="704"/>
      <c r="LOH38" s="704"/>
      <c r="LOI38" s="704"/>
      <c r="LOJ38" s="704"/>
      <c r="LOK38" s="704"/>
      <c r="LOL38" s="704"/>
      <c r="LOM38" s="704"/>
      <c r="LON38" s="704"/>
      <c r="LOO38" s="704"/>
      <c r="LOP38" s="704"/>
      <c r="LOQ38" s="704"/>
      <c r="LOR38" s="704"/>
      <c r="LOS38" s="704"/>
      <c r="LOT38" s="704"/>
      <c r="LOU38" s="704"/>
      <c r="LOV38" s="704"/>
      <c r="LOW38" s="704"/>
      <c r="LOX38" s="704"/>
      <c r="LOY38" s="704"/>
      <c r="LOZ38" s="704"/>
      <c r="LPA38" s="704"/>
      <c r="LPB38" s="704"/>
      <c r="LPC38" s="704"/>
      <c r="LPD38" s="704"/>
      <c r="LPE38" s="704"/>
      <c r="LPF38" s="704"/>
      <c r="LPG38" s="704"/>
      <c r="LPH38" s="704"/>
      <c r="LPI38" s="704"/>
      <c r="LPJ38" s="704"/>
      <c r="LPK38" s="704"/>
      <c r="LPL38" s="704"/>
      <c r="LPM38" s="704"/>
      <c r="LPN38" s="704"/>
      <c r="LPO38" s="704"/>
      <c r="LPP38" s="704"/>
      <c r="LPQ38" s="704"/>
      <c r="LPR38" s="704"/>
      <c r="LPS38" s="704"/>
      <c r="LPT38" s="704"/>
      <c r="LPU38" s="704"/>
      <c r="LPV38" s="704"/>
      <c r="LPW38" s="704"/>
      <c r="LPX38" s="704"/>
      <c r="LPY38" s="704"/>
      <c r="LPZ38" s="704"/>
      <c r="LQA38" s="704"/>
      <c r="LQB38" s="704"/>
      <c r="LQC38" s="704"/>
      <c r="LQD38" s="704"/>
      <c r="LQE38" s="704"/>
      <c r="LQF38" s="704"/>
      <c r="LQG38" s="704"/>
      <c r="LQH38" s="704"/>
      <c r="LQI38" s="704"/>
      <c r="LQJ38" s="704"/>
      <c r="LQK38" s="704"/>
      <c r="LQL38" s="704"/>
      <c r="LQM38" s="704"/>
      <c r="LQN38" s="704"/>
      <c r="LQO38" s="704"/>
      <c r="LQP38" s="704"/>
      <c r="LQQ38" s="704"/>
      <c r="LQR38" s="704"/>
      <c r="LQS38" s="704"/>
      <c r="LQT38" s="704"/>
      <c r="LQU38" s="704"/>
      <c r="LQV38" s="704"/>
      <c r="LQW38" s="704"/>
      <c r="LQX38" s="704"/>
      <c r="LQY38" s="704"/>
      <c r="LQZ38" s="704"/>
      <c r="LRA38" s="704"/>
      <c r="LRB38" s="704"/>
      <c r="LRC38" s="704"/>
      <c r="LRD38" s="704"/>
      <c r="LRE38" s="704"/>
      <c r="LRF38" s="704"/>
      <c r="LRG38" s="704"/>
      <c r="LRH38" s="704"/>
      <c r="LRI38" s="704"/>
      <c r="LRJ38" s="704"/>
      <c r="LRK38" s="704"/>
      <c r="LRL38" s="704"/>
      <c r="LRM38" s="704"/>
      <c r="LRN38" s="704"/>
      <c r="LRO38" s="704"/>
      <c r="LRP38" s="704"/>
      <c r="LRQ38" s="704"/>
      <c r="LRR38" s="704"/>
      <c r="LRS38" s="704"/>
      <c r="LRT38" s="704"/>
      <c r="LRU38" s="704"/>
      <c r="LRV38" s="704"/>
      <c r="LRW38" s="704"/>
      <c r="LRX38" s="704"/>
      <c r="LRY38" s="704"/>
      <c r="LRZ38" s="704"/>
      <c r="LSA38" s="704"/>
      <c r="LSB38" s="704"/>
      <c r="LSC38" s="704"/>
      <c r="LSD38" s="704"/>
      <c r="LSE38" s="704"/>
      <c r="LSF38" s="704"/>
      <c r="LSG38" s="704"/>
      <c r="LSH38" s="704"/>
      <c r="LSI38" s="704"/>
      <c r="LSJ38" s="704"/>
      <c r="LSK38" s="704"/>
      <c r="LSL38" s="704"/>
      <c r="LSM38" s="704"/>
      <c r="LSN38" s="704"/>
      <c r="LSO38" s="704"/>
      <c r="LSP38" s="704"/>
      <c r="LSQ38" s="704"/>
      <c r="LSR38" s="704"/>
      <c r="LSS38" s="704"/>
      <c r="LST38" s="704"/>
      <c r="LSU38" s="704"/>
      <c r="LSV38" s="704"/>
      <c r="LSW38" s="704"/>
      <c r="LSX38" s="704"/>
      <c r="LSY38" s="704"/>
      <c r="LSZ38" s="704"/>
      <c r="LTA38" s="704"/>
      <c r="LTB38" s="704"/>
      <c r="LTC38" s="704"/>
      <c r="LTD38" s="704"/>
      <c r="LTE38" s="704"/>
      <c r="LTF38" s="704"/>
      <c r="LTG38" s="704"/>
      <c r="LTH38" s="704"/>
      <c r="LTI38" s="704"/>
      <c r="LTJ38" s="704"/>
      <c r="LTK38" s="704"/>
      <c r="LTL38" s="704"/>
      <c r="LTM38" s="704"/>
      <c r="LTN38" s="704"/>
      <c r="LTO38" s="704"/>
      <c r="LTP38" s="704"/>
      <c r="LTQ38" s="704"/>
      <c r="LTR38" s="704"/>
      <c r="LTS38" s="704"/>
      <c r="LTT38" s="704"/>
      <c r="LTU38" s="704"/>
      <c r="LTV38" s="704"/>
      <c r="LTW38" s="704"/>
      <c r="LTX38" s="704"/>
      <c r="LTY38" s="704"/>
      <c r="LTZ38" s="704"/>
      <c r="LUA38" s="704"/>
      <c r="LUB38" s="704"/>
      <c r="LUC38" s="704"/>
      <c r="LUD38" s="704"/>
      <c r="LUE38" s="704"/>
      <c r="LUF38" s="704"/>
      <c r="LUG38" s="704"/>
      <c r="LUH38" s="704"/>
      <c r="LUI38" s="704"/>
      <c r="LUJ38" s="704"/>
      <c r="LUK38" s="704"/>
      <c r="LUL38" s="704"/>
      <c r="LUM38" s="704"/>
      <c r="LUN38" s="704"/>
      <c r="LUO38" s="704"/>
      <c r="LUP38" s="704"/>
      <c r="LUQ38" s="704"/>
      <c r="LUR38" s="704"/>
      <c r="LUS38" s="704"/>
      <c r="LUT38" s="704"/>
      <c r="LUU38" s="704"/>
      <c r="LUV38" s="704"/>
      <c r="LUW38" s="704"/>
      <c r="LUX38" s="704"/>
      <c r="LUY38" s="704"/>
      <c r="LUZ38" s="704"/>
      <c r="LVA38" s="704"/>
      <c r="LVB38" s="704"/>
      <c r="LVC38" s="704"/>
      <c r="LVD38" s="704"/>
      <c r="LVE38" s="704"/>
      <c r="LVF38" s="704"/>
      <c r="LVG38" s="704"/>
      <c r="LVH38" s="704"/>
      <c r="LVI38" s="704"/>
      <c r="LVJ38" s="704"/>
      <c r="LVK38" s="704"/>
      <c r="LVL38" s="704"/>
      <c r="LVM38" s="704"/>
      <c r="LVN38" s="704"/>
      <c r="LVO38" s="704"/>
      <c r="LVP38" s="704"/>
      <c r="LVQ38" s="704"/>
      <c r="LVR38" s="704"/>
      <c r="LVS38" s="704"/>
      <c r="LVT38" s="704"/>
      <c r="LVU38" s="704"/>
      <c r="LVV38" s="704"/>
      <c r="LVW38" s="704"/>
      <c r="LVX38" s="704"/>
      <c r="LVY38" s="704"/>
      <c r="LVZ38" s="704"/>
      <c r="LWA38" s="704"/>
      <c r="LWB38" s="704"/>
      <c r="LWC38" s="704"/>
      <c r="LWD38" s="704"/>
      <c r="LWE38" s="704"/>
      <c r="LWF38" s="704"/>
      <c r="LWG38" s="704"/>
      <c r="LWH38" s="704"/>
      <c r="LWI38" s="704"/>
      <c r="LWJ38" s="704"/>
      <c r="LWK38" s="704"/>
      <c r="LWL38" s="704"/>
      <c r="LWM38" s="704"/>
      <c r="LWN38" s="704"/>
      <c r="LWO38" s="704"/>
      <c r="LWP38" s="704"/>
      <c r="LWQ38" s="704"/>
      <c r="LWR38" s="704"/>
      <c r="LWS38" s="704"/>
      <c r="LWT38" s="704"/>
      <c r="LWU38" s="704"/>
      <c r="LWV38" s="704"/>
      <c r="LWW38" s="704"/>
      <c r="LWX38" s="704"/>
      <c r="LWY38" s="704"/>
      <c r="LWZ38" s="704"/>
      <c r="LXA38" s="704"/>
      <c r="LXB38" s="704"/>
      <c r="LXC38" s="704"/>
      <c r="LXD38" s="704"/>
      <c r="LXE38" s="704"/>
      <c r="LXF38" s="704"/>
      <c r="LXG38" s="704"/>
      <c r="LXH38" s="704"/>
      <c r="LXI38" s="704"/>
      <c r="LXJ38" s="704"/>
      <c r="LXK38" s="704"/>
      <c r="LXL38" s="704"/>
      <c r="LXM38" s="704"/>
      <c r="LXN38" s="704"/>
      <c r="LXO38" s="704"/>
      <c r="LXP38" s="704"/>
      <c r="LXQ38" s="704"/>
      <c r="LXR38" s="704"/>
      <c r="LXS38" s="704"/>
      <c r="LXT38" s="704"/>
      <c r="LXU38" s="704"/>
      <c r="LXV38" s="704"/>
      <c r="LXW38" s="704"/>
      <c r="LXX38" s="704"/>
      <c r="LXY38" s="704"/>
      <c r="LXZ38" s="704"/>
      <c r="LYA38" s="704"/>
      <c r="LYB38" s="704"/>
      <c r="LYC38" s="704"/>
      <c r="LYD38" s="704"/>
      <c r="LYE38" s="704"/>
      <c r="LYF38" s="704"/>
      <c r="LYG38" s="704"/>
      <c r="LYH38" s="704"/>
      <c r="LYI38" s="704"/>
      <c r="LYJ38" s="704"/>
      <c r="LYK38" s="704"/>
      <c r="LYL38" s="704"/>
      <c r="LYM38" s="704"/>
      <c r="LYN38" s="704"/>
      <c r="LYO38" s="704"/>
      <c r="LYP38" s="704"/>
      <c r="LYQ38" s="704"/>
      <c r="LYR38" s="704"/>
      <c r="LYS38" s="704"/>
      <c r="LYT38" s="704"/>
      <c r="LYU38" s="704"/>
      <c r="LYV38" s="704"/>
      <c r="LYW38" s="704"/>
      <c r="LYX38" s="704"/>
      <c r="LYY38" s="704"/>
      <c r="LYZ38" s="704"/>
      <c r="LZA38" s="704"/>
      <c r="LZB38" s="704"/>
      <c r="LZC38" s="704"/>
      <c r="LZD38" s="704"/>
      <c r="LZE38" s="704"/>
      <c r="LZF38" s="704"/>
      <c r="LZG38" s="704"/>
      <c r="LZH38" s="704"/>
      <c r="LZI38" s="704"/>
      <c r="LZJ38" s="704"/>
      <c r="LZK38" s="704"/>
      <c r="LZL38" s="704"/>
      <c r="LZM38" s="704"/>
      <c r="LZN38" s="704"/>
      <c r="LZO38" s="704"/>
      <c r="LZP38" s="704"/>
      <c r="LZQ38" s="704"/>
      <c r="LZR38" s="704"/>
      <c r="LZS38" s="704"/>
      <c r="LZT38" s="704"/>
      <c r="LZU38" s="704"/>
      <c r="LZV38" s="704"/>
      <c r="LZW38" s="704"/>
      <c r="LZX38" s="704"/>
      <c r="LZY38" s="704"/>
      <c r="LZZ38" s="704"/>
      <c r="MAA38" s="704"/>
      <c r="MAB38" s="704"/>
      <c r="MAC38" s="704"/>
      <c r="MAD38" s="704"/>
      <c r="MAE38" s="704"/>
      <c r="MAF38" s="704"/>
      <c r="MAG38" s="704"/>
      <c r="MAH38" s="704"/>
      <c r="MAI38" s="704"/>
      <c r="MAJ38" s="704"/>
      <c r="MAK38" s="704"/>
      <c r="MAL38" s="704"/>
      <c r="MAM38" s="704"/>
      <c r="MAN38" s="704"/>
      <c r="MAO38" s="704"/>
      <c r="MAP38" s="704"/>
      <c r="MAQ38" s="704"/>
      <c r="MAR38" s="704"/>
      <c r="MAS38" s="704"/>
      <c r="MAT38" s="704"/>
      <c r="MAU38" s="704"/>
      <c r="MAV38" s="704"/>
      <c r="MAW38" s="704"/>
      <c r="MAX38" s="704"/>
      <c r="MAY38" s="704"/>
      <c r="MAZ38" s="704"/>
      <c r="MBA38" s="704"/>
      <c r="MBB38" s="704"/>
      <c r="MBC38" s="704"/>
      <c r="MBD38" s="704"/>
      <c r="MBE38" s="704"/>
      <c r="MBF38" s="704"/>
      <c r="MBG38" s="704"/>
      <c r="MBH38" s="704"/>
      <c r="MBI38" s="704"/>
      <c r="MBJ38" s="704"/>
      <c r="MBK38" s="704"/>
      <c r="MBL38" s="704"/>
      <c r="MBM38" s="704"/>
      <c r="MBN38" s="704"/>
      <c r="MBO38" s="704"/>
      <c r="MBP38" s="704"/>
      <c r="MBQ38" s="704"/>
      <c r="MBR38" s="704"/>
      <c r="MBS38" s="704"/>
      <c r="MBT38" s="704"/>
      <c r="MBU38" s="704"/>
      <c r="MBV38" s="704"/>
      <c r="MBW38" s="704"/>
      <c r="MBX38" s="704"/>
      <c r="MBY38" s="704"/>
      <c r="MBZ38" s="704"/>
      <c r="MCA38" s="704"/>
      <c r="MCB38" s="704"/>
      <c r="MCC38" s="704"/>
      <c r="MCD38" s="704"/>
      <c r="MCE38" s="704"/>
      <c r="MCF38" s="704"/>
      <c r="MCG38" s="704"/>
      <c r="MCH38" s="704"/>
      <c r="MCI38" s="704"/>
      <c r="MCJ38" s="704"/>
      <c r="MCK38" s="704"/>
      <c r="MCL38" s="704"/>
      <c r="MCM38" s="704"/>
      <c r="MCN38" s="704"/>
      <c r="MCO38" s="704"/>
      <c r="MCP38" s="704"/>
      <c r="MCQ38" s="704"/>
      <c r="MCR38" s="704"/>
      <c r="MCS38" s="704"/>
      <c r="MCT38" s="704"/>
      <c r="MCU38" s="704"/>
      <c r="MCV38" s="704"/>
      <c r="MCW38" s="704"/>
      <c r="MCX38" s="704"/>
      <c r="MCY38" s="704"/>
      <c r="MCZ38" s="704"/>
      <c r="MDA38" s="704"/>
      <c r="MDB38" s="704"/>
      <c r="MDC38" s="704"/>
      <c r="MDD38" s="704"/>
      <c r="MDE38" s="704"/>
      <c r="MDF38" s="704"/>
      <c r="MDG38" s="704"/>
      <c r="MDH38" s="704"/>
      <c r="MDI38" s="704"/>
      <c r="MDJ38" s="704"/>
      <c r="MDK38" s="704"/>
      <c r="MDL38" s="704"/>
      <c r="MDM38" s="704"/>
      <c r="MDN38" s="704"/>
      <c r="MDO38" s="704"/>
      <c r="MDP38" s="704"/>
      <c r="MDQ38" s="704"/>
      <c r="MDR38" s="704"/>
      <c r="MDS38" s="704"/>
      <c r="MDT38" s="704"/>
      <c r="MDU38" s="704"/>
      <c r="MDV38" s="704"/>
      <c r="MDW38" s="704"/>
      <c r="MDX38" s="704"/>
      <c r="MDY38" s="704"/>
      <c r="MDZ38" s="704"/>
      <c r="MEA38" s="704"/>
      <c r="MEB38" s="704"/>
      <c r="MEC38" s="704"/>
      <c r="MED38" s="704"/>
      <c r="MEE38" s="704"/>
      <c r="MEF38" s="704"/>
      <c r="MEG38" s="704"/>
      <c r="MEH38" s="704"/>
      <c r="MEI38" s="704"/>
      <c r="MEJ38" s="704"/>
      <c r="MEK38" s="704"/>
      <c r="MEL38" s="704"/>
      <c r="MEM38" s="704"/>
      <c r="MEN38" s="704"/>
      <c r="MEO38" s="704"/>
      <c r="MEP38" s="704"/>
      <c r="MEQ38" s="704"/>
      <c r="MER38" s="704"/>
      <c r="MES38" s="704"/>
      <c r="MET38" s="704"/>
      <c r="MEU38" s="704"/>
      <c r="MEV38" s="704"/>
      <c r="MEW38" s="704"/>
      <c r="MEX38" s="704"/>
      <c r="MEY38" s="704"/>
      <c r="MEZ38" s="704"/>
      <c r="MFA38" s="704"/>
      <c r="MFB38" s="704"/>
      <c r="MFC38" s="704"/>
      <c r="MFD38" s="704"/>
      <c r="MFE38" s="704"/>
      <c r="MFF38" s="704"/>
      <c r="MFG38" s="704"/>
      <c r="MFH38" s="704"/>
      <c r="MFI38" s="704"/>
      <c r="MFJ38" s="704"/>
      <c r="MFK38" s="704"/>
      <c r="MFL38" s="704"/>
      <c r="MFM38" s="704"/>
      <c r="MFN38" s="704"/>
      <c r="MFO38" s="704"/>
      <c r="MFP38" s="704"/>
      <c r="MFQ38" s="704"/>
      <c r="MFR38" s="704"/>
      <c r="MFS38" s="704"/>
      <c r="MFT38" s="704"/>
      <c r="MFU38" s="704"/>
      <c r="MFV38" s="704"/>
      <c r="MFW38" s="704"/>
      <c r="MFX38" s="704"/>
      <c r="MFY38" s="704"/>
      <c r="MFZ38" s="704"/>
      <c r="MGA38" s="704"/>
      <c r="MGB38" s="704"/>
      <c r="MGC38" s="704"/>
      <c r="MGD38" s="704"/>
      <c r="MGE38" s="704"/>
      <c r="MGF38" s="704"/>
      <c r="MGG38" s="704"/>
      <c r="MGH38" s="704"/>
      <c r="MGI38" s="704"/>
      <c r="MGJ38" s="704"/>
      <c r="MGK38" s="704"/>
      <c r="MGL38" s="704"/>
      <c r="MGM38" s="704"/>
      <c r="MGN38" s="704"/>
      <c r="MGO38" s="704"/>
      <c r="MGP38" s="704"/>
      <c r="MGQ38" s="704"/>
      <c r="MGR38" s="704"/>
      <c r="MGS38" s="704"/>
      <c r="MGT38" s="704"/>
      <c r="MGU38" s="704"/>
      <c r="MGV38" s="704"/>
      <c r="MGW38" s="704"/>
      <c r="MGX38" s="704"/>
      <c r="MGY38" s="704"/>
      <c r="MGZ38" s="704"/>
      <c r="MHA38" s="704"/>
      <c r="MHB38" s="704"/>
      <c r="MHC38" s="704"/>
      <c r="MHD38" s="704"/>
      <c r="MHE38" s="704"/>
      <c r="MHF38" s="704"/>
      <c r="MHG38" s="704"/>
      <c r="MHH38" s="704"/>
      <c r="MHI38" s="704"/>
      <c r="MHJ38" s="704"/>
      <c r="MHK38" s="704"/>
      <c r="MHL38" s="704"/>
      <c r="MHM38" s="704"/>
      <c r="MHN38" s="704"/>
      <c r="MHO38" s="704"/>
      <c r="MHP38" s="704"/>
      <c r="MHQ38" s="704"/>
      <c r="MHR38" s="704"/>
      <c r="MHS38" s="704"/>
      <c r="MHT38" s="704"/>
      <c r="MHU38" s="704"/>
      <c r="MHV38" s="704"/>
      <c r="MHW38" s="704"/>
      <c r="MHX38" s="704"/>
      <c r="MHY38" s="704"/>
      <c r="MHZ38" s="704"/>
      <c r="MIA38" s="704"/>
      <c r="MIB38" s="704"/>
      <c r="MIC38" s="704"/>
      <c r="MID38" s="704"/>
      <c r="MIE38" s="704"/>
      <c r="MIF38" s="704"/>
      <c r="MIG38" s="704"/>
      <c r="MIH38" s="704"/>
      <c r="MII38" s="704"/>
      <c r="MIJ38" s="704"/>
      <c r="MIK38" s="704"/>
      <c r="MIL38" s="704"/>
      <c r="MIM38" s="704"/>
      <c r="MIN38" s="704"/>
      <c r="MIO38" s="704"/>
      <c r="MIP38" s="704"/>
      <c r="MIQ38" s="704"/>
      <c r="MIR38" s="704"/>
      <c r="MIS38" s="704"/>
      <c r="MIT38" s="704"/>
      <c r="MIU38" s="704"/>
      <c r="MIV38" s="704"/>
      <c r="MIW38" s="704"/>
      <c r="MIX38" s="704"/>
      <c r="MIY38" s="704"/>
      <c r="MIZ38" s="704"/>
      <c r="MJA38" s="704"/>
      <c r="MJB38" s="704"/>
      <c r="MJC38" s="704"/>
      <c r="MJD38" s="704"/>
      <c r="MJE38" s="704"/>
      <c r="MJF38" s="704"/>
      <c r="MJG38" s="704"/>
      <c r="MJH38" s="704"/>
      <c r="MJI38" s="704"/>
      <c r="MJJ38" s="704"/>
      <c r="MJK38" s="704"/>
      <c r="MJL38" s="704"/>
      <c r="MJM38" s="704"/>
      <c r="MJN38" s="704"/>
      <c r="MJO38" s="704"/>
      <c r="MJP38" s="704"/>
      <c r="MJQ38" s="704"/>
      <c r="MJR38" s="704"/>
      <c r="MJS38" s="704"/>
      <c r="MJT38" s="704"/>
      <c r="MJU38" s="704"/>
      <c r="MJV38" s="704"/>
      <c r="MJW38" s="704"/>
      <c r="MJX38" s="704"/>
      <c r="MJY38" s="704"/>
      <c r="MJZ38" s="704"/>
      <c r="MKA38" s="704"/>
      <c r="MKB38" s="704"/>
      <c r="MKC38" s="704"/>
      <c r="MKD38" s="704"/>
      <c r="MKE38" s="704"/>
      <c r="MKF38" s="704"/>
      <c r="MKG38" s="704"/>
      <c r="MKH38" s="704"/>
      <c r="MKI38" s="704"/>
      <c r="MKJ38" s="704"/>
      <c r="MKK38" s="704"/>
      <c r="MKL38" s="704"/>
      <c r="MKM38" s="704"/>
      <c r="MKN38" s="704"/>
      <c r="MKO38" s="704"/>
      <c r="MKP38" s="704"/>
      <c r="MKQ38" s="704"/>
      <c r="MKR38" s="704"/>
      <c r="MKS38" s="704"/>
      <c r="MKT38" s="704"/>
      <c r="MKU38" s="704"/>
      <c r="MKV38" s="704"/>
      <c r="MKW38" s="704"/>
      <c r="MKX38" s="704"/>
      <c r="MKY38" s="704"/>
      <c r="MKZ38" s="704"/>
      <c r="MLA38" s="704"/>
      <c r="MLB38" s="704"/>
      <c r="MLC38" s="704"/>
      <c r="MLD38" s="704"/>
      <c r="MLE38" s="704"/>
      <c r="MLF38" s="704"/>
      <c r="MLG38" s="704"/>
      <c r="MLH38" s="704"/>
      <c r="MLI38" s="704"/>
      <c r="MLJ38" s="704"/>
      <c r="MLK38" s="704"/>
      <c r="MLL38" s="704"/>
      <c r="MLM38" s="704"/>
      <c r="MLN38" s="704"/>
      <c r="MLO38" s="704"/>
      <c r="MLP38" s="704"/>
      <c r="MLQ38" s="704"/>
      <c r="MLR38" s="704"/>
      <c r="MLS38" s="704"/>
      <c r="MLT38" s="704"/>
      <c r="MLU38" s="704"/>
      <c r="MLV38" s="704"/>
      <c r="MLW38" s="704"/>
      <c r="MLX38" s="704"/>
      <c r="MLY38" s="704"/>
      <c r="MLZ38" s="704"/>
      <c r="MMA38" s="704"/>
      <c r="MMB38" s="704"/>
      <c r="MMC38" s="704"/>
      <c r="MMD38" s="704"/>
      <c r="MME38" s="704"/>
      <c r="MMF38" s="704"/>
      <c r="MMG38" s="704"/>
      <c r="MMH38" s="704"/>
      <c r="MMI38" s="704"/>
      <c r="MMJ38" s="704"/>
      <c r="MMK38" s="704"/>
      <c r="MML38" s="704"/>
      <c r="MMM38" s="704"/>
      <c r="MMN38" s="704"/>
      <c r="MMO38" s="704"/>
      <c r="MMP38" s="704"/>
      <c r="MMQ38" s="704"/>
      <c r="MMR38" s="704"/>
      <c r="MMS38" s="704"/>
      <c r="MMT38" s="704"/>
      <c r="MMU38" s="704"/>
      <c r="MMV38" s="704"/>
      <c r="MMW38" s="704"/>
      <c r="MMX38" s="704"/>
      <c r="MMY38" s="704"/>
      <c r="MMZ38" s="704"/>
      <c r="MNA38" s="704"/>
      <c r="MNB38" s="704"/>
      <c r="MNC38" s="704"/>
      <c r="MND38" s="704"/>
      <c r="MNE38" s="704"/>
      <c r="MNF38" s="704"/>
      <c r="MNG38" s="704"/>
      <c r="MNH38" s="704"/>
      <c r="MNI38" s="704"/>
      <c r="MNJ38" s="704"/>
      <c r="MNK38" s="704"/>
      <c r="MNL38" s="704"/>
      <c r="MNM38" s="704"/>
      <c r="MNN38" s="704"/>
      <c r="MNO38" s="704"/>
      <c r="MNP38" s="704"/>
      <c r="MNQ38" s="704"/>
      <c r="MNR38" s="704"/>
      <c r="MNS38" s="704"/>
      <c r="MNT38" s="704"/>
      <c r="MNU38" s="704"/>
      <c r="MNV38" s="704"/>
      <c r="MNW38" s="704"/>
      <c r="MNX38" s="704"/>
      <c r="MNY38" s="704"/>
      <c r="MNZ38" s="704"/>
      <c r="MOA38" s="704"/>
      <c r="MOB38" s="704"/>
      <c r="MOC38" s="704"/>
      <c r="MOD38" s="704"/>
      <c r="MOE38" s="704"/>
      <c r="MOF38" s="704"/>
      <c r="MOG38" s="704"/>
      <c r="MOH38" s="704"/>
      <c r="MOI38" s="704"/>
      <c r="MOJ38" s="704"/>
      <c r="MOK38" s="704"/>
      <c r="MOL38" s="704"/>
      <c r="MOM38" s="704"/>
      <c r="MON38" s="704"/>
      <c r="MOO38" s="704"/>
      <c r="MOP38" s="704"/>
      <c r="MOQ38" s="704"/>
      <c r="MOR38" s="704"/>
      <c r="MOS38" s="704"/>
      <c r="MOT38" s="704"/>
      <c r="MOU38" s="704"/>
      <c r="MOV38" s="704"/>
      <c r="MOW38" s="704"/>
      <c r="MOX38" s="704"/>
      <c r="MOY38" s="704"/>
      <c r="MOZ38" s="704"/>
      <c r="MPA38" s="704"/>
      <c r="MPB38" s="704"/>
      <c r="MPC38" s="704"/>
      <c r="MPD38" s="704"/>
      <c r="MPE38" s="704"/>
      <c r="MPF38" s="704"/>
      <c r="MPG38" s="704"/>
      <c r="MPH38" s="704"/>
      <c r="MPI38" s="704"/>
      <c r="MPJ38" s="704"/>
      <c r="MPK38" s="704"/>
      <c r="MPL38" s="704"/>
      <c r="MPM38" s="704"/>
      <c r="MPN38" s="704"/>
      <c r="MPO38" s="704"/>
      <c r="MPP38" s="704"/>
      <c r="MPQ38" s="704"/>
      <c r="MPR38" s="704"/>
      <c r="MPS38" s="704"/>
      <c r="MPT38" s="704"/>
      <c r="MPU38" s="704"/>
      <c r="MPV38" s="704"/>
      <c r="MPW38" s="704"/>
      <c r="MPX38" s="704"/>
      <c r="MPY38" s="704"/>
      <c r="MPZ38" s="704"/>
      <c r="MQA38" s="704"/>
      <c r="MQB38" s="704"/>
      <c r="MQC38" s="704"/>
      <c r="MQD38" s="704"/>
      <c r="MQE38" s="704"/>
      <c r="MQF38" s="704"/>
      <c r="MQG38" s="704"/>
      <c r="MQH38" s="704"/>
      <c r="MQI38" s="704"/>
      <c r="MQJ38" s="704"/>
      <c r="MQK38" s="704"/>
      <c r="MQL38" s="704"/>
      <c r="MQM38" s="704"/>
      <c r="MQN38" s="704"/>
      <c r="MQO38" s="704"/>
      <c r="MQP38" s="704"/>
      <c r="MQQ38" s="704"/>
      <c r="MQR38" s="704"/>
      <c r="MQS38" s="704"/>
      <c r="MQT38" s="704"/>
      <c r="MQU38" s="704"/>
      <c r="MQV38" s="704"/>
      <c r="MQW38" s="704"/>
      <c r="MQX38" s="704"/>
      <c r="MQY38" s="704"/>
      <c r="MQZ38" s="704"/>
      <c r="MRA38" s="704"/>
      <c r="MRB38" s="704"/>
      <c r="MRC38" s="704"/>
      <c r="MRD38" s="704"/>
      <c r="MRE38" s="704"/>
      <c r="MRF38" s="704"/>
      <c r="MRG38" s="704"/>
      <c r="MRH38" s="704"/>
      <c r="MRI38" s="704"/>
      <c r="MRJ38" s="704"/>
      <c r="MRK38" s="704"/>
      <c r="MRL38" s="704"/>
      <c r="MRM38" s="704"/>
      <c r="MRN38" s="704"/>
      <c r="MRO38" s="704"/>
      <c r="MRP38" s="704"/>
      <c r="MRQ38" s="704"/>
      <c r="MRR38" s="704"/>
      <c r="MRS38" s="704"/>
      <c r="MRT38" s="704"/>
      <c r="MRU38" s="704"/>
      <c r="MRV38" s="704"/>
      <c r="MRW38" s="704"/>
      <c r="MRX38" s="704"/>
      <c r="MRY38" s="704"/>
      <c r="MRZ38" s="704"/>
      <c r="MSA38" s="704"/>
      <c r="MSB38" s="704"/>
      <c r="MSC38" s="704"/>
      <c r="MSD38" s="704"/>
      <c r="MSE38" s="704"/>
      <c r="MSF38" s="704"/>
      <c r="MSG38" s="704"/>
      <c r="MSH38" s="704"/>
      <c r="MSI38" s="704"/>
      <c r="MSJ38" s="704"/>
      <c r="MSK38" s="704"/>
      <c r="MSL38" s="704"/>
      <c r="MSM38" s="704"/>
      <c r="MSN38" s="704"/>
      <c r="MSO38" s="704"/>
      <c r="MSP38" s="704"/>
      <c r="MSQ38" s="704"/>
      <c r="MSR38" s="704"/>
      <c r="MSS38" s="704"/>
      <c r="MST38" s="704"/>
      <c r="MSU38" s="704"/>
      <c r="MSV38" s="704"/>
      <c r="MSW38" s="704"/>
      <c r="MSX38" s="704"/>
      <c r="MSY38" s="704"/>
      <c r="MSZ38" s="704"/>
      <c r="MTA38" s="704"/>
      <c r="MTB38" s="704"/>
      <c r="MTC38" s="704"/>
      <c r="MTD38" s="704"/>
      <c r="MTE38" s="704"/>
      <c r="MTF38" s="704"/>
      <c r="MTG38" s="704"/>
      <c r="MTH38" s="704"/>
      <c r="MTI38" s="704"/>
      <c r="MTJ38" s="704"/>
      <c r="MTK38" s="704"/>
      <c r="MTL38" s="704"/>
      <c r="MTM38" s="704"/>
      <c r="MTN38" s="704"/>
      <c r="MTO38" s="704"/>
      <c r="MTP38" s="704"/>
      <c r="MTQ38" s="704"/>
      <c r="MTR38" s="704"/>
      <c r="MTS38" s="704"/>
      <c r="MTT38" s="704"/>
      <c r="MTU38" s="704"/>
      <c r="MTV38" s="704"/>
      <c r="MTW38" s="704"/>
      <c r="MTX38" s="704"/>
      <c r="MTY38" s="704"/>
      <c r="MTZ38" s="704"/>
      <c r="MUA38" s="704"/>
      <c r="MUB38" s="704"/>
      <c r="MUC38" s="704"/>
      <c r="MUD38" s="704"/>
      <c r="MUE38" s="704"/>
      <c r="MUF38" s="704"/>
      <c r="MUG38" s="704"/>
      <c r="MUH38" s="704"/>
      <c r="MUI38" s="704"/>
      <c r="MUJ38" s="704"/>
      <c r="MUK38" s="704"/>
      <c r="MUL38" s="704"/>
      <c r="MUM38" s="704"/>
      <c r="MUN38" s="704"/>
      <c r="MUO38" s="704"/>
      <c r="MUP38" s="704"/>
      <c r="MUQ38" s="704"/>
      <c r="MUR38" s="704"/>
      <c r="MUS38" s="704"/>
      <c r="MUT38" s="704"/>
      <c r="MUU38" s="704"/>
      <c r="MUV38" s="704"/>
      <c r="MUW38" s="704"/>
      <c r="MUX38" s="704"/>
      <c r="MUY38" s="704"/>
      <c r="MUZ38" s="704"/>
      <c r="MVA38" s="704"/>
      <c r="MVB38" s="704"/>
      <c r="MVC38" s="704"/>
      <c r="MVD38" s="704"/>
      <c r="MVE38" s="704"/>
      <c r="MVF38" s="704"/>
      <c r="MVG38" s="704"/>
      <c r="MVH38" s="704"/>
      <c r="MVI38" s="704"/>
      <c r="MVJ38" s="704"/>
      <c r="MVK38" s="704"/>
      <c r="MVL38" s="704"/>
      <c r="MVM38" s="704"/>
      <c r="MVN38" s="704"/>
      <c r="MVO38" s="704"/>
      <c r="MVP38" s="704"/>
      <c r="MVQ38" s="704"/>
      <c r="MVR38" s="704"/>
      <c r="MVS38" s="704"/>
      <c r="MVT38" s="704"/>
      <c r="MVU38" s="704"/>
      <c r="MVV38" s="704"/>
      <c r="MVW38" s="704"/>
      <c r="MVX38" s="704"/>
      <c r="MVY38" s="704"/>
      <c r="MVZ38" s="704"/>
      <c r="MWA38" s="704"/>
      <c r="MWB38" s="704"/>
      <c r="MWC38" s="704"/>
      <c r="MWD38" s="704"/>
      <c r="MWE38" s="704"/>
      <c r="MWF38" s="704"/>
      <c r="MWG38" s="704"/>
      <c r="MWH38" s="704"/>
      <c r="MWI38" s="704"/>
      <c r="MWJ38" s="704"/>
      <c r="MWK38" s="704"/>
      <c r="MWL38" s="704"/>
      <c r="MWM38" s="704"/>
      <c r="MWN38" s="704"/>
      <c r="MWO38" s="704"/>
      <c r="MWP38" s="704"/>
      <c r="MWQ38" s="704"/>
      <c r="MWR38" s="704"/>
      <c r="MWS38" s="704"/>
      <c r="MWT38" s="704"/>
      <c r="MWU38" s="704"/>
      <c r="MWV38" s="704"/>
      <c r="MWW38" s="704"/>
      <c r="MWX38" s="704"/>
      <c r="MWY38" s="704"/>
      <c r="MWZ38" s="704"/>
      <c r="MXA38" s="704"/>
      <c r="MXB38" s="704"/>
      <c r="MXC38" s="704"/>
      <c r="MXD38" s="704"/>
      <c r="MXE38" s="704"/>
      <c r="MXF38" s="704"/>
      <c r="MXG38" s="704"/>
      <c r="MXH38" s="704"/>
      <c r="MXI38" s="704"/>
      <c r="MXJ38" s="704"/>
      <c r="MXK38" s="704"/>
      <c r="MXL38" s="704"/>
      <c r="MXM38" s="704"/>
      <c r="MXN38" s="704"/>
      <c r="MXO38" s="704"/>
      <c r="MXP38" s="704"/>
      <c r="MXQ38" s="704"/>
      <c r="MXR38" s="704"/>
      <c r="MXS38" s="704"/>
      <c r="MXT38" s="704"/>
      <c r="MXU38" s="704"/>
      <c r="MXV38" s="704"/>
      <c r="MXW38" s="704"/>
      <c r="MXX38" s="704"/>
      <c r="MXY38" s="704"/>
      <c r="MXZ38" s="704"/>
      <c r="MYA38" s="704"/>
      <c r="MYB38" s="704"/>
      <c r="MYC38" s="704"/>
      <c r="MYD38" s="704"/>
      <c r="MYE38" s="704"/>
      <c r="MYF38" s="704"/>
      <c r="MYG38" s="704"/>
      <c r="MYH38" s="704"/>
      <c r="MYI38" s="704"/>
      <c r="MYJ38" s="704"/>
      <c r="MYK38" s="704"/>
      <c r="MYL38" s="704"/>
      <c r="MYM38" s="704"/>
      <c r="MYN38" s="704"/>
      <c r="MYO38" s="704"/>
      <c r="MYP38" s="704"/>
      <c r="MYQ38" s="704"/>
      <c r="MYR38" s="704"/>
      <c r="MYS38" s="704"/>
      <c r="MYT38" s="704"/>
      <c r="MYU38" s="704"/>
      <c r="MYV38" s="704"/>
      <c r="MYW38" s="704"/>
      <c r="MYX38" s="704"/>
      <c r="MYY38" s="704"/>
      <c r="MYZ38" s="704"/>
      <c r="MZA38" s="704"/>
      <c r="MZB38" s="704"/>
      <c r="MZC38" s="704"/>
      <c r="MZD38" s="704"/>
      <c r="MZE38" s="704"/>
      <c r="MZF38" s="704"/>
      <c r="MZG38" s="704"/>
      <c r="MZH38" s="704"/>
      <c r="MZI38" s="704"/>
      <c r="MZJ38" s="704"/>
      <c r="MZK38" s="704"/>
      <c r="MZL38" s="704"/>
      <c r="MZM38" s="704"/>
      <c r="MZN38" s="704"/>
      <c r="MZO38" s="704"/>
      <c r="MZP38" s="704"/>
      <c r="MZQ38" s="704"/>
      <c r="MZR38" s="704"/>
      <c r="MZS38" s="704"/>
      <c r="MZT38" s="704"/>
      <c r="MZU38" s="704"/>
      <c r="MZV38" s="704"/>
      <c r="MZW38" s="704"/>
      <c r="MZX38" s="704"/>
      <c r="MZY38" s="704"/>
      <c r="MZZ38" s="704"/>
      <c r="NAA38" s="704"/>
      <c r="NAB38" s="704"/>
      <c r="NAC38" s="704"/>
      <c r="NAD38" s="704"/>
      <c r="NAE38" s="704"/>
      <c r="NAF38" s="704"/>
      <c r="NAG38" s="704"/>
      <c r="NAH38" s="704"/>
      <c r="NAI38" s="704"/>
      <c r="NAJ38" s="704"/>
      <c r="NAK38" s="704"/>
      <c r="NAL38" s="704"/>
      <c r="NAM38" s="704"/>
      <c r="NAN38" s="704"/>
      <c r="NAO38" s="704"/>
      <c r="NAP38" s="704"/>
      <c r="NAQ38" s="704"/>
      <c r="NAR38" s="704"/>
      <c r="NAS38" s="704"/>
      <c r="NAT38" s="704"/>
      <c r="NAU38" s="704"/>
      <c r="NAV38" s="704"/>
      <c r="NAW38" s="704"/>
      <c r="NAX38" s="704"/>
      <c r="NAY38" s="704"/>
      <c r="NAZ38" s="704"/>
      <c r="NBA38" s="704"/>
      <c r="NBB38" s="704"/>
      <c r="NBC38" s="704"/>
      <c r="NBD38" s="704"/>
      <c r="NBE38" s="704"/>
      <c r="NBF38" s="704"/>
      <c r="NBG38" s="704"/>
      <c r="NBH38" s="704"/>
      <c r="NBI38" s="704"/>
      <c r="NBJ38" s="704"/>
      <c r="NBK38" s="704"/>
      <c r="NBL38" s="704"/>
      <c r="NBM38" s="704"/>
      <c r="NBN38" s="704"/>
      <c r="NBO38" s="704"/>
      <c r="NBP38" s="704"/>
      <c r="NBQ38" s="704"/>
      <c r="NBR38" s="704"/>
      <c r="NBS38" s="704"/>
      <c r="NBT38" s="704"/>
      <c r="NBU38" s="704"/>
      <c r="NBV38" s="704"/>
      <c r="NBW38" s="704"/>
      <c r="NBX38" s="704"/>
      <c r="NBY38" s="704"/>
      <c r="NBZ38" s="704"/>
      <c r="NCA38" s="704"/>
      <c r="NCB38" s="704"/>
      <c r="NCC38" s="704"/>
      <c r="NCD38" s="704"/>
      <c r="NCE38" s="704"/>
      <c r="NCF38" s="704"/>
      <c r="NCG38" s="704"/>
      <c r="NCH38" s="704"/>
      <c r="NCI38" s="704"/>
      <c r="NCJ38" s="704"/>
      <c r="NCK38" s="704"/>
      <c r="NCL38" s="704"/>
      <c r="NCM38" s="704"/>
      <c r="NCN38" s="704"/>
      <c r="NCO38" s="704"/>
      <c r="NCP38" s="704"/>
      <c r="NCQ38" s="704"/>
      <c r="NCR38" s="704"/>
      <c r="NCS38" s="704"/>
      <c r="NCT38" s="704"/>
      <c r="NCU38" s="704"/>
      <c r="NCV38" s="704"/>
      <c r="NCW38" s="704"/>
      <c r="NCX38" s="704"/>
      <c r="NCY38" s="704"/>
      <c r="NCZ38" s="704"/>
      <c r="NDA38" s="704"/>
      <c r="NDB38" s="704"/>
      <c r="NDC38" s="704"/>
      <c r="NDD38" s="704"/>
      <c r="NDE38" s="704"/>
      <c r="NDF38" s="704"/>
      <c r="NDG38" s="704"/>
      <c r="NDH38" s="704"/>
      <c r="NDI38" s="704"/>
      <c r="NDJ38" s="704"/>
      <c r="NDK38" s="704"/>
      <c r="NDL38" s="704"/>
      <c r="NDM38" s="704"/>
      <c r="NDN38" s="704"/>
      <c r="NDO38" s="704"/>
      <c r="NDP38" s="704"/>
      <c r="NDQ38" s="704"/>
      <c r="NDR38" s="704"/>
      <c r="NDS38" s="704"/>
      <c r="NDT38" s="704"/>
      <c r="NDU38" s="704"/>
      <c r="NDV38" s="704"/>
      <c r="NDW38" s="704"/>
      <c r="NDX38" s="704"/>
      <c r="NDY38" s="704"/>
      <c r="NDZ38" s="704"/>
      <c r="NEA38" s="704"/>
      <c r="NEB38" s="704"/>
      <c r="NEC38" s="704"/>
      <c r="NED38" s="704"/>
      <c r="NEE38" s="704"/>
      <c r="NEF38" s="704"/>
      <c r="NEG38" s="704"/>
      <c r="NEH38" s="704"/>
      <c r="NEI38" s="704"/>
      <c r="NEJ38" s="704"/>
      <c r="NEK38" s="704"/>
      <c r="NEL38" s="704"/>
      <c r="NEM38" s="704"/>
      <c r="NEN38" s="704"/>
      <c r="NEO38" s="704"/>
      <c r="NEP38" s="704"/>
      <c r="NEQ38" s="704"/>
      <c r="NER38" s="704"/>
      <c r="NES38" s="704"/>
      <c r="NET38" s="704"/>
      <c r="NEU38" s="704"/>
      <c r="NEV38" s="704"/>
      <c r="NEW38" s="704"/>
      <c r="NEX38" s="704"/>
      <c r="NEY38" s="704"/>
      <c r="NEZ38" s="704"/>
      <c r="NFA38" s="704"/>
      <c r="NFB38" s="704"/>
      <c r="NFC38" s="704"/>
      <c r="NFD38" s="704"/>
      <c r="NFE38" s="704"/>
      <c r="NFF38" s="704"/>
      <c r="NFG38" s="704"/>
      <c r="NFH38" s="704"/>
      <c r="NFI38" s="704"/>
      <c r="NFJ38" s="704"/>
      <c r="NFK38" s="704"/>
      <c r="NFL38" s="704"/>
      <c r="NFM38" s="704"/>
      <c r="NFN38" s="704"/>
      <c r="NFO38" s="704"/>
      <c r="NFP38" s="704"/>
      <c r="NFQ38" s="704"/>
      <c r="NFR38" s="704"/>
      <c r="NFS38" s="704"/>
      <c r="NFT38" s="704"/>
      <c r="NFU38" s="704"/>
      <c r="NFV38" s="704"/>
      <c r="NFW38" s="704"/>
      <c r="NFX38" s="704"/>
      <c r="NFY38" s="704"/>
      <c r="NFZ38" s="704"/>
      <c r="NGA38" s="704"/>
      <c r="NGB38" s="704"/>
      <c r="NGC38" s="704"/>
      <c r="NGD38" s="704"/>
      <c r="NGE38" s="704"/>
      <c r="NGF38" s="704"/>
      <c r="NGG38" s="704"/>
      <c r="NGH38" s="704"/>
      <c r="NGI38" s="704"/>
      <c r="NGJ38" s="704"/>
      <c r="NGK38" s="704"/>
      <c r="NGL38" s="704"/>
      <c r="NGM38" s="704"/>
      <c r="NGN38" s="704"/>
      <c r="NGO38" s="704"/>
      <c r="NGP38" s="704"/>
      <c r="NGQ38" s="704"/>
      <c r="NGR38" s="704"/>
      <c r="NGS38" s="704"/>
      <c r="NGT38" s="704"/>
      <c r="NGU38" s="704"/>
      <c r="NGV38" s="704"/>
      <c r="NGW38" s="704"/>
      <c r="NGX38" s="704"/>
      <c r="NGY38" s="704"/>
      <c r="NGZ38" s="704"/>
      <c r="NHA38" s="704"/>
      <c r="NHB38" s="704"/>
      <c r="NHC38" s="704"/>
      <c r="NHD38" s="704"/>
      <c r="NHE38" s="704"/>
      <c r="NHF38" s="704"/>
      <c r="NHG38" s="704"/>
      <c r="NHH38" s="704"/>
      <c r="NHI38" s="704"/>
      <c r="NHJ38" s="704"/>
      <c r="NHK38" s="704"/>
      <c r="NHL38" s="704"/>
      <c r="NHM38" s="704"/>
      <c r="NHN38" s="704"/>
      <c r="NHO38" s="704"/>
      <c r="NHP38" s="704"/>
      <c r="NHQ38" s="704"/>
      <c r="NHR38" s="704"/>
      <c r="NHS38" s="704"/>
      <c r="NHT38" s="704"/>
      <c r="NHU38" s="704"/>
      <c r="NHV38" s="704"/>
      <c r="NHW38" s="704"/>
      <c r="NHX38" s="704"/>
      <c r="NHY38" s="704"/>
      <c r="NHZ38" s="704"/>
      <c r="NIA38" s="704"/>
      <c r="NIB38" s="704"/>
      <c r="NIC38" s="704"/>
      <c r="NID38" s="704"/>
      <c r="NIE38" s="704"/>
      <c r="NIF38" s="704"/>
      <c r="NIG38" s="704"/>
      <c r="NIH38" s="704"/>
      <c r="NII38" s="704"/>
      <c r="NIJ38" s="704"/>
      <c r="NIK38" s="704"/>
      <c r="NIL38" s="704"/>
      <c r="NIM38" s="704"/>
      <c r="NIN38" s="704"/>
      <c r="NIO38" s="704"/>
      <c r="NIP38" s="704"/>
      <c r="NIQ38" s="704"/>
      <c r="NIR38" s="704"/>
      <c r="NIS38" s="704"/>
      <c r="NIT38" s="704"/>
      <c r="NIU38" s="704"/>
      <c r="NIV38" s="704"/>
      <c r="NIW38" s="704"/>
      <c r="NIX38" s="704"/>
      <c r="NIY38" s="704"/>
      <c r="NIZ38" s="704"/>
      <c r="NJA38" s="704"/>
      <c r="NJB38" s="704"/>
      <c r="NJC38" s="704"/>
      <c r="NJD38" s="704"/>
      <c r="NJE38" s="704"/>
      <c r="NJF38" s="704"/>
      <c r="NJG38" s="704"/>
      <c r="NJH38" s="704"/>
      <c r="NJI38" s="704"/>
      <c r="NJJ38" s="704"/>
      <c r="NJK38" s="704"/>
      <c r="NJL38" s="704"/>
      <c r="NJM38" s="704"/>
      <c r="NJN38" s="704"/>
      <c r="NJO38" s="704"/>
      <c r="NJP38" s="704"/>
      <c r="NJQ38" s="704"/>
      <c r="NJR38" s="704"/>
      <c r="NJS38" s="704"/>
      <c r="NJT38" s="704"/>
      <c r="NJU38" s="704"/>
      <c r="NJV38" s="704"/>
      <c r="NJW38" s="704"/>
      <c r="NJX38" s="704"/>
      <c r="NJY38" s="704"/>
      <c r="NJZ38" s="704"/>
      <c r="NKA38" s="704"/>
      <c r="NKB38" s="704"/>
      <c r="NKC38" s="704"/>
      <c r="NKD38" s="704"/>
      <c r="NKE38" s="704"/>
      <c r="NKF38" s="704"/>
      <c r="NKG38" s="704"/>
      <c r="NKH38" s="704"/>
      <c r="NKI38" s="704"/>
      <c r="NKJ38" s="704"/>
      <c r="NKK38" s="704"/>
      <c r="NKL38" s="704"/>
      <c r="NKM38" s="704"/>
      <c r="NKN38" s="704"/>
      <c r="NKO38" s="704"/>
      <c r="NKP38" s="704"/>
      <c r="NKQ38" s="704"/>
      <c r="NKR38" s="704"/>
      <c r="NKS38" s="704"/>
      <c r="NKT38" s="704"/>
      <c r="NKU38" s="704"/>
      <c r="NKV38" s="704"/>
      <c r="NKW38" s="704"/>
      <c r="NKX38" s="704"/>
      <c r="NKY38" s="704"/>
      <c r="NKZ38" s="704"/>
      <c r="NLA38" s="704"/>
      <c r="NLB38" s="704"/>
      <c r="NLC38" s="704"/>
      <c r="NLD38" s="704"/>
      <c r="NLE38" s="704"/>
      <c r="NLF38" s="704"/>
      <c r="NLG38" s="704"/>
      <c r="NLH38" s="704"/>
      <c r="NLI38" s="704"/>
      <c r="NLJ38" s="704"/>
      <c r="NLK38" s="704"/>
      <c r="NLL38" s="704"/>
      <c r="NLM38" s="704"/>
      <c r="NLN38" s="704"/>
      <c r="NLO38" s="704"/>
      <c r="NLP38" s="704"/>
      <c r="NLQ38" s="704"/>
      <c r="NLR38" s="704"/>
      <c r="NLS38" s="704"/>
      <c r="NLT38" s="704"/>
      <c r="NLU38" s="704"/>
      <c r="NLV38" s="704"/>
      <c r="NLW38" s="704"/>
      <c r="NLX38" s="704"/>
      <c r="NLY38" s="704"/>
      <c r="NLZ38" s="704"/>
      <c r="NMA38" s="704"/>
      <c r="NMB38" s="704"/>
      <c r="NMC38" s="704"/>
      <c r="NMD38" s="704"/>
      <c r="NME38" s="704"/>
      <c r="NMF38" s="704"/>
      <c r="NMG38" s="704"/>
      <c r="NMH38" s="704"/>
      <c r="NMI38" s="704"/>
      <c r="NMJ38" s="704"/>
      <c r="NMK38" s="704"/>
      <c r="NML38" s="704"/>
      <c r="NMM38" s="704"/>
      <c r="NMN38" s="704"/>
      <c r="NMO38" s="704"/>
      <c r="NMP38" s="704"/>
      <c r="NMQ38" s="704"/>
      <c r="NMR38" s="704"/>
      <c r="NMS38" s="704"/>
      <c r="NMT38" s="704"/>
      <c r="NMU38" s="704"/>
      <c r="NMV38" s="704"/>
      <c r="NMW38" s="704"/>
      <c r="NMX38" s="704"/>
      <c r="NMY38" s="704"/>
      <c r="NMZ38" s="704"/>
      <c r="NNA38" s="704"/>
      <c r="NNB38" s="704"/>
      <c r="NNC38" s="704"/>
      <c r="NND38" s="704"/>
      <c r="NNE38" s="704"/>
      <c r="NNF38" s="704"/>
      <c r="NNG38" s="704"/>
      <c r="NNH38" s="704"/>
      <c r="NNI38" s="704"/>
      <c r="NNJ38" s="704"/>
      <c r="NNK38" s="704"/>
      <c r="NNL38" s="704"/>
      <c r="NNM38" s="704"/>
      <c r="NNN38" s="704"/>
      <c r="NNO38" s="704"/>
      <c r="NNP38" s="704"/>
      <c r="NNQ38" s="704"/>
      <c r="NNR38" s="704"/>
      <c r="NNS38" s="704"/>
      <c r="NNT38" s="704"/>
      <c r="NNU38" s="704"/>
      <c r="NNV38" s="704"/>
      <c r="NNW38" s="704"/>
      <c r="NNX38" s="704"/>
      <c r="NNY38" s="704"/>
      <c r="NNZ38" s="704"/>
      <c r="NOA38" s="704"/>
      <c r="NOB38" s="704"/>
      <c r="NOC38" s="704"/>
      <c r="NOD38" s="704"/>
      <c r="NOE38" s="704"/>
      <c r="NOF38" s="704"/>
      <c r="NOG38" s="704"/>
      <c r="NOH38" s="704"/>
      <c r="NOI38" s="704"/>
      <c r="NOJ38" s="704"/>
      <c r="NOK38" s="704"/>
      <c r="NOL38" s="704"/>
      <c r="NOM38" s="704"/>
      <c r="NON38" s="704"/>
      <c r="NOO38" s="704"/>
      <c r="NOP38" s="704"/>
      <c r="NOQ38" s="704"/>
      <c r="NOR38" s="704"/>
      <c r="NOS38" s="704"/>
      <c r="NOT38" s="704"/>
      <c r="NOU38" s="704"/>
      <c r="NOV38" s="704"/>
      <c r="NOW38" s="704"/>
      <c r="NOX38" s="704"/>
      <c r="NOY38" s="704"/>
      <c r="NOZ38" s="704"/>
      <c r="NPA38" s="704"/>
      <c r="NPB38" s="704"/>
      <c r="NPC38" s="704"/>
      <c r="NPD38" s="704"/>
      <c r="NPE38" s="704"/>
      <c r="NPF38" s="704"/>
      <c r="NPG38" s="704"/>
      <c r="NPH38" s="704"/>
      <c r="NPI38" s="704"/>
      <c r="NPJ38" s="704"/>
      <c r="NPK38" s="704"/>
      <c r="NPL38" s="704"/>
      <c r="NPM38" s="704"/>
      <c r="NPN38" s="704"/>
      <c r="NPO38" s="704"/>
      <c r="NPP38" s="704"/>
      <c r="NPQ38" s="704"/>
      <c r="NPR38" s="704"/>
      <c r="NPS38" s="704"/>
      <c r="NPT38" s="704"/>
      <c r="NPU38" s="704"/>
      <c r="NPV38" s="704"/>
      <c r="NPW38" s="704"/>
      <c r="NPX38" s="704"/>
      <c r="NPY38" s="704"/>
      <c r="NPZ38" s="704"/>
      <c r="NQA38" s="704"/>
      <c r="NQB38" s="704"/>
      <c r="NQC38" s="704"/>
      <c r="NQD38" s="704"/>
      <c r="NQE38" s="704"/>
      <c r="NQF38" s="704"/>
      <c r="NQG38" s="704"/>
      <c r="NQH38" s="704"/>
      <c r="NQI38" s="704"/>
      <c r="NQJ38" s="704"/>
      <c r="NQK38" s="704"/>
      <c r="NQL38" s="704"/>
      <c r="NQM38" s="704"/>
      <c r="NQN38" s="704"/>
      <c r="NQO38" s="704"/>
      <c r="NQP38" s="704"/>
      <c r="NQQ38" s="704"/>
      <c r="NQR38" s="704"/>
      <c r="NQS38" s="704"/>
      <c r="NQT38" s="704"/>
      <c r="NQU38" s="704"/>
      <c r="NQV38" s="704"/>
      <c r="NQW38" s="704"/>
      <c r="NQX38" s="704"/>
      <c r="NQY38" s="704"/>
      <c r="NQZ38" s="704"/>
      <c r="NRA38" s="704"/>
      <c r="NRB38" s="704"/>
      <c r="NRC38" s="704"/>
      <c r="NRD38" s="704"/>
      <c r="NRE38" s="704"/>
      <c r="NRF38" s="704"/>
      <c r="NRG38" s="704"/>
      <c r="NRH38" s="704"/>
      <c r="NRI38" s="704"/>
      <c r="NRJ38" s="704"/>
      <c r="NRK38" s="704"/>
      <c r="NRL38" s="704"/>
      <c r="NRM38" s="704"/>
      <c r="NRN38" s="704"/>
      <c r="NRO38" s="704"/>
      <c r="NRP38" s="704"/>
      <c r="NRQ38" s="704"/>
      <c r="NRR38" s="704"/>
      <c r="NRS38" s="704"/>
      <c r="NRT38" s="704"/>
      <c r="NRU38" s="704"/>
      <c r="NRV38" s="704"/>
      <c r="NRW38" s="704"/>
      <c r="NRX38" s="704"/>
      <c r="NRY38" s="704"/>
      <c r="NRZ38" s="704"/>
      <c r="NSA38" s="704"/>
      <c r="NSB38" s="704"/>
      <c r="NSC38" s="704"/>
      <c r="NSD38" s="704"/>
      <c r="NSE38" s="704"/>
      <c r="NSF38" s="704"/>
      <c r="NSG38" s="704"/>
      <c r="NSH38" s="704"/>
      <c r="NSI38" s="704"/>
      <c r="NSJ38" s="704"/>
      <c r="NSK38" s="704"/>
      <c r="NSL38" s="704"/>
      <c r="NSM38" s="704"/>
      <c r="NSN38" s="704"/>
      <c r="NSO38" s="704"/>
      <c r="NSP38" s="704"/>
      <c r="NSQ38" s="704"/>
      <c r="NSR38" s="704"/>
      <c r="NSS38" s="704"/>
      <c r="NST38" s="704"/>
      <c r="NSU38" s="704"/>
      <c r="NSV38" s="704"/>
      <c r="NSW38" s="704"/>
      <c r="NSX38" s="704"/>
      <c r="NSY38" s="704"/>
      <c r="NSZ38" s="704"/>
      <c r="NTA38" s="704"/>
      <c r="NTB38" s="704"/>
      <c r="NTC38" s="704"/>
      <c r="NTD38" s="704"/>
      <c r="NTE38" s="704"/>
      <c r="NTF38" s="704"/>
      <c r="NTG38" s="704"/>
      <c r="NTH38" s="704"/>
      <c r="NTI38" s="704"/>
      <c r="NTJ38" s="704"/>
      <c r="NTK38" s="704"/>
      <c r="NTL38" s="704"/>
      <c r="NTM38" s="704"/>
      <c r="NTN38" s="704"/>
      <c r="NTO38" s="704"/>
      <c r="NTP38" s="704"/>
      <c r="NTQ38" s="704"/>
      <c r="NTR38" s="704"/>
      <c r="NTS38" s="704"/>
      <c r="NTT38" s="704"/>
      <c r="NTU38" s="704"/>
      <c r="NTV38" s="704"/>
      <c r="NTW38" s="704"/>
      <c r="NTX38" s="704"/>
      <c r="NTY38" s="704"/>
      <c r="NTZ38" s="704"/>
      <c r="NUA38" s="704"/>
      <c r="NUB38" s="704"/>
      <c r="NUC38" s="704"/>
      <c r="NUD38" s="704"/>
      <c r="NUE38" s="704"/>
      <c r="NUF38" s="704"/>
      <c r="NUG38" s="704"/>
      <c r="NUH38" s="704"/>
      <c r="NUI38" s="704"/>
      <c r="NUJ38" s="704"/>
      <c r="NUK38" s="704"/>
      <c r="NUL38" s="704"/>
      <c r="NUM38" s="704"/>
      <c r="NUN38" s="704"/>
      <c r="NUO38" s="704"/>
      <c r="NUP38" s="704"/>
      <c r="NUQ38" s="704"/>
      <c r="NUR38" s="704"/>
      <c r="NUS38" s="704"/>
      <c r="NUT38" s="704"/>
      <c r="NUU38" s="704"/>
      <c r="NUV38" s="704"/>
      <c r="NUW38" s="704"/>
      <c r="NUX38" s="704"/>
      <c r="NUY38" s="704"/>
      <c r="NUZ38" s="704"/>
      <c r="NVA38" s="704"/>
      <c r="NVB38" s="704"/>
      <c r="NVC38" s="704"/>
      <c r="NVD38" s="704"/>
      <c r="NVE38" s="704"/>
      <c r="NVF38" s="704"/>
      <c r="NVG38" s="704"/>
      <c r="NVH38" s="704"/>
      <c r="NVI38" s="704"/>
      <c r="NVJ38" s="704"/>
      <c r="NVK38" s="704"/>
      <c r="NVL38" s="704"/>
      <c r="NVM38" s="704"/>
      <c r="NVN38" s="704"/>
      <c r="NVO38" s="704"/>
      <c r="NVP38" s="704"/>
      <c r="NVQ38" s="704"/>
      <c r="NVR38" s="704"/>
      <c r="NVS38" s="704"/>
      <c r="NVT38" s="704"/>
      <c r="NVU38" s="704"/>
      <c r="NVV38" s="704"/>
      <c r="NVW38" s="704"/>
      <c r="NVX38" s="704"/>
      <c r="NVY38" s="704"/>
      <c r="NVZ38" s="704"/>
      <c r="NWA38" s="704"/>
      <c r="NWB38" s="704"/>
      <c r="NWC38" s="704"/>
      <c r="NWD38" s="704"/>
      <c r="NWE38" s="704"/>
      <c r="NWF38" s="704"/>
      <c r="NWG38" s="704"/>
      <c r="NWH38" s="704"/>
      <c r="NWI38" s="704"/>
      <c r="NWJ38" s="704"/>
      <c r="NWK38" s="704"/>
      <c r="NWL38" s="704"/>
      <c r="NWM38" s="704"/>
      <c r="NWN38" s="704"/>
      <c r="NWO38" s="704"/>
      <c r="NWP38" s="704"/>
      <c r="NWQ38" s="704"/>
      <c r="NWR38" s="704"/>
      <c r="NWS38" s="704"/>
      <c r="NWT38" s="704"/>
      <c r="NWU38" s="704"/>
      <c r="NWV38" s="704"/>
      <c r="NWW38" s="704"/>
      <c r="NWX38" s="704"/>
      <c r="NWY38" s="704"/>
      <c r="NWZ38" s="704"/>
      <c r="NXA38" s="704"/>
      <c r="NXB38" s="704"/>
      <c r="NXC38" s="704"/>
      <c r="NXD38" s="704"/>
      <c r="NXE38" s="704"/>
      <c r="NXF38" s="704"/>
      <c r="NXG38" s="704"/>
      <c r="NXH38" s="704"/>
      <c r="NXI38" s="704"/>
      <c r="NXJ38" s="704"/>
      <c r="NXK38" s="704"/>
      <c r="NXL38" s="704"/>
      <c r="NXM38" s="704"/>
      <c r="NXN38" s="704"/>
      <c r="NXO38" s="704"/>
      <c r="NXP38" s="704"/>
      <c r="NXQ38" s="704"/>
      <c r="NXR38" s="704"/>
      <c r="NXS38" s="704"/>
      <c r="NXT38" s="704"/>
      <c r="NXU38" s="704"/>
      <c r="NXV38" s="704"/>
      <c r="NXW38" s="704"/>
      <c r="NXX38" s="704"/>
      <c r="NXY38" s="704"/>
      <c r="NXZ38" s="704"/>
      <c r="NYA38" s="704"/>
      <c r="NYB38" s="704"/>
      <c r="NYC38" s="704"/>
      <c r="NYD38" s="704"/>
      <c r="NYE38" s="704"/>
      <c r="NYF38" s="704"/>
      <c r="NYG38" s="704"/>
      <c r="NYH38" s="704"/>
      <c r="NYI38" s="704"/>
      <c r="NYJ38" s="704"/>
      <c r="NYK38" s="704"/>
      <c r="NYL38" s="704"/>
      <c r="NYM38" s="704"/>
      <c r="NYN38" s="704"/>
      <c r="NYO38" s="704"/>
      <c r="NYP38" s="704"/>
      <c r="NYQ38" s="704"/>
      <c r="NYR38" s="704"/>
      <c r="NYS38" s="704"/>
      <c r="NYT38" s="704"/>
      <c r="NYU38" s="704"/>
      <c r="NYV38" s="704"/>
      <c r="NYW38" s="704"/>
      <c r="NYX38" s="704"/>
      <c r="NYY38" s="704"/>
      <c r="NYZ38" s="704"/>
      <c r="NZA38" s="704"/>
      <c r="NZB38" s="704"/>
      <c r="NZC38" s="704"/>
      <c r="NZD38" s="704"/>
      <c r="NZE38" s="704"/>
      <c r="NZF38" s="704"/>
      <c r="NZG38" s="704"/>
      <c r="NZH38" s="704"/>
      <c r="NZI38" s="704"/>
      <c r="NZJ38" s="704"/>
      <c r="NZK38" s="704"/>
      <c r="NZL38" s="704"/>
      <c r="NZM38" s="704"/>
      <c r="NZN38" s="704"/>
      <c r="NZO38" s="704"/>
      <c r="NZP38" s="704"/>
      <c r="NZQ38" s="704"/>
      <c r="NZR38" s="704"/>
      <c r="NZS38" s="704"/>
      <c r="NZT38" s="704"/>
      <c r="NZU38" s="704"/>
      <c r="NZV38" s="704"/>
      <c r="NZW38" s="704"/>
      <c r="NZX38" s="704"/>
      <c r="NZY38" s="704"/>
      <c r="NZZ38" s="704"/>
      <c r="OAA38" s="704"/>
      <c r="OAB38" s="704"/>
      <c r="OAC38" s="704"/>
      <c r="OAD38" s="704"/>
      <c r="OAE38" s="704"/>
      <c r="OAF38" s="704"/>
      <c r="OAG38" s="704"/>
      <c r="OAH38" s="704"/>
      <c r="OAI38" s="704"/>
      <c r="OAJ38" s="704"/>
      <c r="OAK38" s="704"/>
      <c r="OAL38" s="704"/>
      <c r="OAM38" s="704"/>
      <c r="OAN38" s="704"/>
      <c r="OAO38" s="704"/>
      <c r="OAP38" s="704"/>
      <c r="OAQ38" s="704"/>
      <c r="OAR38" s="704"/>
      <c r="OAS38" s="704"/>
      <c r="OAT38" s="704"/>
      <c r="OAU38" s="704"/>
      <c r="OAV38" s="704"/>
      <c r="OAW38" s="704"/>
      <c r="OAX38" s="704"/>
      <c r="OAY38" s="704"/>
      <c r="OAZ38" s="704"/>
      <c r="OBA38" s="704"/>
      <c r="OBB38" s="704"/>
      <c r="OBC38" s="704"/>
      <c r="OBD38" s="704"/>
      <c r="OBE38" s="704"/>
      <c r="OBF38" s="704"/>
      <c r="OBG38" s="704"/>
      <c r="OBH38" s="704"/>
      <c r="OBI38" s="704"/>
      <c r="OBJ38" s="704"/>
      <c r="OBK38" s="704"/>
      <c r="OBL38" s="704"/>
      <c r="OBM38" s="704"/>
      <c r="OBN38" s="704"/>
      <c r="OBO38" s="704"/>
      <c r="OBP38" s="704"/>
      <c r="OBQ38" s="704"/>
      <c r="OBR38" s="704"/>
      <c r="OBS38" s="704"/>
      <c r="OBT38" s="704"/>
      <c r="OBU38" s="704"/>
      <c r="OBV38" s="704"/>
      <c r="OBW38" s="704"/>
      <c r="OBX38" s="704"/>
      <c r="OBY38" s="704"/>
      <c r="OBZ38" s="704"/>
      <c r="OCA38" s="704"/>
      <c r="OCB38" s="704"/>
      <c r="OCC38" s="704"/>
      <c r="OCD38" s="704"/>
      <c r="OCE38" s="704"/>
      <c r="OCF38" s="704"/>
      <c r="OCG38" s="704"/>
      <c r="OCH38" s="704"/>
      <c r="OCI38" s="704"/>
      <c r="OCJ38" s="704"/>
      <c r="OCK38" s="704"/>
      <c r="OCL38" s="704"/>
      <c r="OCM38" s="704"/>
      <c r="OCN38" s="704"/>
      <c r="OCO38" s="704"/>
      <c r="OCP38" s="704"/>
      <c r="OCQ38" s="704"/>
      <c r="OCR38" s="704"/>
      <c r="OCS38" s="704"/>
      <c r="OCT38" s="704"/>
      <c r="OCU38" s="704"/>
      <c r="OCV38" s="704"/>
      <c r="OCW38" s="704"/>
      <c r="OCX38" s="704"/>
      <c r="OCY38" s="704"/>
      <c r="OCZ38" s="704"/>
      <c r="ODA38" s="704"/>
      <c r="ODB38" s="704"/>
      <c r="ODC38" s="704"/>
      <c r="ODD38" s="704"/>
      <c r="ODE38" s="704"/>
      <c r="ODF38" s="704"/>
      <c r="ODG38" s="704"/>
      <c r="ODH38" s="704"/>
      <c r="ODI38" s="704"/>
      <c r="ODJ38" s="704"/>
      <c r="ODK38" s="704"/>
      <c r="ODL38" s="704"/>
      <c r="ODM38" s="704"/>
      <c r="ODN38" s="704"/>
      <c r="ODO38" s="704"/>
      <c r="ODP38" s="704"/>
      <c r="ODQ38" s="704"/>
      <c r="ODR38" s="704"/>
      <c r="ODS38" s="704"/>
      <c r="ODT38" s="704"/>
      <c r="ODU38" s="704"/>
      <c r="ODV38" s="704"/>
      <c r="ODW38" s="704"/>
      <c r="ODX38" s="704"/>
      <c r="ODY38" s="704"/>
      <c r="ODZ38" s="704"/>
      <c r="OEA38" s="704"/>
      <c r="OEB38" s="704"/>
      <c r="OEC38" s="704"/>
      <c r="OED38" s="704"/>
      <c r="OEE38" s="704"/>
      <c r="OEF38" s="704"/>
      <c r="OEG38" s="704"/>
      <c r="OEH38" s="704"/>
      <c r="OEI38" s="704"/>
      <c r="OEJ38" s="704"/>
      <c r="OEK38" s="704"/>
      <c r="OEL38" s="704"/>
      <c r="OEM38" s="704"/>
      <c r="OEN38" s="704"/>
      <c r="OEO38" s="704"/>
      <c r="OEP38" s="704"/>
      <c r="OEQ38" s="704"/>
      <c r="OER38" s="704"/>
      <c r="OES38" s="704"/>
      <c r="OET38" s="704"/>
      <c r="OEU38" s="704"/>
      <c r="OEV38" s="704"/>
      <c r="OEW38" s="704"/>
      <c r="OEX38" s="704"/>
      <c r="OEY38" s="704"/>
      <c r="OEZ38" s="704"/>
      <c r="OFA38" s="704"/>
      <c r="OFB38" s="704"/>
      <c r="OFC38" s="704"/>
      <c r="OFD38" s="704"/>
      <c r="OFE38" s="704"/>
      <c r="OFF38" s="704"/>
      <c r="OFG38" s="704"/>
      <c r="OFH38" s="704"/>
      <c r="OFI38" s="704"/>
      <c r="OFJ38" s="704"/>
      <c r="OFK38" s="704"/>
      <c r="OFL38" s="704"/>
      <c r="OFM38" s="704"/>
      <c r="OFN38" s="704"/>
      <c r="OFO38" s="704"/>
      <c r="OFP38" s="704"/>
      <c r="OFQ38" s="704"/>
      <c r="OFR38" s="704"/>
      <c r="OFS38" s="704"/>
      <c r="OFT38" s="704"/>
      <c r="OFU38" s="704"/>
      <c r="OFV38" s="704"/>
      <c r="OFW38" s="704"/>
      <c r="OFX38" s="704"/>
      <c r="OFY38" s="704"/>
      <c r="OFZ38" s="704"/>
      <c r="OGA38" s="704"/>
      <c r="OGB38" s="704"/>
      <c r="OGC38" s="704"/>
      <c r="OGD38" s="704"/>
      <c r="OGE38" s="704"/>
      <c r="OGF38" s="704"/>
      <c r="OGG38" s="704"/>
      <c r="OGH38" s="704"/>
      <c r="OGI38" s="704"/>
      <c r="OGJ38" s="704"/>
      <c r="OGK38" s="704"/>
      <c r="OGL38" s="704"/>
      <c r="OGM38" s="704"/>
      <c r="OGN38" s="704"/>
      <c r="OGO38" s="704"/>
      <c r="OGP38" s="704"/>
      <c r="OGQ38" s="704"/>
      <c r="OGR38" s="704"/>
      <c r="OGS38" s="704"/>
      <c r="OGT38" s="704"/>
      <c r="OGU38" s="704"/>
      <c r="OGV38" s="704"/>
      <c r="OGW38" s="704"/>
      <c r="OGX38" s="704"/>
      <c r="OGY38" s="704"/>
      <c r="OGZ38" s="704"/>
      <c r="OHA38" s="704"/>
      <c r="OHB38" s="704"/>
      <c r="OHC38" s="704"/>
      <c r="OHD38" s="704"/>
      <c r="OHE38" s="704"/>
      <c r="OHF38" s="704"/>
      <c r="OHG38" s="704"/>
      <c r="OHH38" s="704"/>
      <c r="OHI38" s="704"/>
      <c r="OHJ38" s="704"/>
      <c r="OHK38" s="704"/>
      <c r="OHL38" s="704"/>
      <c r="OHM38" s="704"/>
      <c r="OHN38" s="704"/>
      <c r="OHO38" s="704"/>
      <c r="OHP38" s="704"/>
      <c r="OHQ38" s="704"/>
      <c r="OHR38" s="704"/>
      <c r="OHS38" s="704"/>
      <c r="OHT38" s="704"/>
      <c r="OHU38" s="704"/>
      <c r="OHV38" s="704"/>
      <c r="OHW38" s="704"/>
      <c r="OHX38" s="704"/>
      <c r="OHY38" s="704"/>
      <c r="OHZ38" s="704"/>
      <c r="OIA38" s="704"/>
      <c r="OIB38" s="704"/>
      <c r="OIC38" s="704"/>
      <c r="OID38" s="704"/>
      <c r="OIE38" s="704"/>
      <c r="OIF38" s="704"/>
      <c r="OIG38" s="704"/>
      <c r="OIH38" s="704"/>
      <c r="OII38" s="704"/>
      <c r="OIJ38" s="704"/>
      <c r="OIK38" s="704"/>
      <c r="OIL38" s="704"/>
      <c r="OIM38" s="704"/>
      <c r="OIN38" s="704"/>
      <c r="OIO38" s="704"/>
      <c r="OIP38" s="704"/>
      <c r="OIQ38" s="704"/>
      <c r="OIR38" s="704"/>
      <c r="OIS38" s="704"/>
      <c r="OIT38" s="704"/>
      <c r="OIU38" s="704"/>
      <c r="OIV38" s="704"/>
      <c r="OIW38" s="704"/>
      <c r="OIX38" s="704"/>
      <c r="OIY38" s="704"/>
      <c r="OIZ38" s="704"/>
      <c r="OJA38" s="704"/>
      <c r="OJB38" s="704"/>
      <c r="OJC38" s="704"/>
      <c r="OJD38" s="704"/>
      <c r="OJE38" s="704"/>
      <c r="OJF38" s="704"/>
      <c r="OJG38" s="704"/>
      <c r="OJH38" s="704"/>
      <c r="OJI38" s="704"/>
      <c r="OJJ38" s="704"/>
      <c r="OJK38" s="704"/>
      <c r="OJL38" s="704"/>
      <c r="OJM38" s="704"/>
      <c r="OJN38" s="704"/>
      <c r="OJO38" s="704"/>
      <c r="OJP38" s="704"/>
      <c r="OJQ38" s="704"/>
      <c r="OJR38" s="704"/>
      <c r="OJS38" s="704"/>
      <c r="OJT38" s="704"/>
      <c r="OJU38" s="704"/>
      <c r="OJV38" s="704"/>
      <c r="OJW38" s="704"/>
      <c r="OJX38" s="704"/>
      <c r="OJY38" s="704"/>
      <c r="OJZ38" s="704"/>
      <c r="OKA38" s="704"/>
      <c r="OKB38" s="704"/>
      <c r="OKC38" s="704"/>
      <c r="OKD38" s="704"/>
      <c r="OKE38" s="704"/>
      <c r="OKF38" s="704"/>
      <c r="OKG38" s="704"/>
      <c r="OKH38" s="704"/>
      <c r="OKI38" s="704"/>
      <c r="OKJ38" s="704"/>
      <c r="OKK38" s="704"/>
      <c r="OKL38" s="704"/>
      <c r="OKM38" s="704"/>
      <c r="OKN38" s="704"/>
      <c r="OKO38" s="704"/>
      <c r="OKP38" s="704"/>
      <c r="OKQ38" s="704"/>
      <c r="OKR38" s="704"/>
      <c r="OKS38" s="704"/>
      <c r="OKT38" s="704"/>
      <c r="OKU38" s="704"/>
      <c r="OKV38" s="704"/>
      <c r="OKW38" s="704"/>
      <c r="OKX38" s="704"/>
      <c r="OKY38" s="704"/>
      <c r="OKZ38" s="704"/>
      <c r="OLA38" s="704"/>
      <c r="OLB38" s="704"/>
      <c r="OLC38" s="704"/>
      <c r="OLD38" s="704"/>
      <c r="OLE38" s="704"/>
      <c r="OLF38" s="704"/>
      <c r="OLG38" s="704"/>
      <c r="OLH38" s="704"/>
      <c r="OLI38" s="704"/>
      <c r="OLJ38" s="704"/>
      <c r="OLK38" s="704"/>
      <c r="OLL38" s="704"/>
      <c r="OLM38" s="704"/>
      <c r="OLN38" s="704"/>
      <c r="OLO38" s="704"/>
      <c r="OLP38" s="704"/>
      <c r="OLQ38" s="704"/>
      <c r="OLR38" s="704"/>
      <c r="OLS38" s="704"/>
      <c r="OLT38" s="704"/>
      <c r="OLU38" s="704"/>
      <c r="OLV38" s="704"/>
      <c r="OLW38" s="704"/>
      <c r="OLX38" s="704"/>
      <c r="OLY38" s="704"/>
      <c r="OLZ38" s="704"/>
      <c r="OMA38" s="704"/>
      <c r="OMB38" s="704"/>
      <c r="OMC38" s="704"/>
      <c r="OMD38" s="704"/>
      <c r="OME38" s="704"/>
      <c r="OMF38" s="704"/>
      <c r="OMG38" s="704"/>
      <c r="OMH38" s="704"/>
      <c r="OMI38" s="704"/>
      <c r="OMJ38" s="704"/>
      <c r="OMK38" s="704"/>
      <c r="OML38" s="704"/>
      <c r="OMM38" s="704"/>
      <c r="OMN38" s="704"/>
      <c r="OMO38" s="704"/>
      <c r="OMP38" s="704"/>
      <c r="OMQ38" s="704"/>
      <c r="OMR38" s="704"/>
      <c r="OMS38" s="704"/>
      <c r="OMT38" s="704"/>
      <c r="OMU38" s="704"/>
      <c r="OMV38" s="704"/>
      <c r="OMW38" s="704"/>
      <c r="OMX38" s="704"/>
      <c r="OMY38" s="704"/>
      <c r="OMZ38" s="704"/>
      <c r="ONA38" s="704"/>
      <c r="ONB38" s="704"/>
      <c r="ONC38" s="704"/>
      <c r="OND38" s="704"/>
      <c r="ONE38" s="704"/>
      <c r="ONF38" s="704"/>
      <c r="ONG38" s="704"/>
      <c r="ONH38" s="704"/>
      <c r="ONI38" s="704"/>
      <c r="ONJ38" s="704"/>
      <c r="ONK38" s="704"/>
      <c r="ONL38" s="704"/>
      <c r="ONM38" s="704"/>
      <c r="ONN38" s="704"/>
      <c r="ONO38" s="704"/>
      <c r="ONP38" s="704"/>
      <c r="ONQ38" s="704"/>
      <c r="ONR38" s="704"/>
      <c r="ONS38" s="704"/>
      <c r="ONT38" s="704"/>
      <c r="ONU38" s="704"/>
      <c r="ONV38" s="704"/>
      <c r="ONW38" s="704"/>
      <c r="ONX38" s="704"/>
      <c r="ONY38" s="704"/>
      <c r="ONZ38" s="704"/>
      <c r="OOA38" s="704"/>
      <c r="OOB38" s="704"/>
      <c r="OOC38" s="704"/>
      <c r="OOD38" s="704"/>
      <c r="OOE38" s="704"/>
      <c r="OOF38" s="704"/>
      <c r="OOG38" s="704"/>
      <c r="OOH38" s="704"/>
      <c r="OOI38" s="704"/>
      <c r="OOJ38" s="704"/>
      <c r="OOK38" s="704"/>
      <c r="OOL38" s="704"/>
      <c r="OOM38" s="704"/>
      <c r="OON38" s="704"/>
      <c r="OOO38" s="704"/>
      <c r="OOP38" s="704"/>
      <c r="OOQ38" s="704"/>
      <c r="OOR38" s="704"/>
      <c r="OOS38" s="704"/>
      <c r="OOT38" s="704"/>
      <c r="OOU38" s="704"/>
      <c r="OOV38" s="704"/>
      <c r="OOW38" s="704"/>
      <c r="OOX38" s="704"/>
      <c r="OOY38" s="704"/>
      <c r="OOZ38" s="704"/>
      <c r="OPA38" s="704"/>
      <c r="OPB38" s="704"/>
      <c r="OPC38" s="704"/>
      <c r="OPD38" s="704"/>
      <c r="OPE38" s="704"/>
      <c r="OPF38" s="704"/>
      <c r="OPG38" s="704"/>
      <c r="OPH38" s="704"/>
      <c r="OPI38" s="704"/>
      <c r="OPJ38" s="704"/>
      <c r="OPK38" s="704"/>
      <c r="OPL38" s="704"/>
      <c r="OPM38" s="704"/>
      <c r="OPN38" s="704"/>
      <c r="OPO38" s="704"/>
      <c r="OPP38" s="704"/>
      <c r="OPQ38" s="704"/>
      <c r="OPR38" s="704"/>
      <c r="OPS38" s="704"/>
      <c r="OPT38" s="704"/>
      <c r="OPU38" s="704"/>
      <c r="OPV38" s="704"/>
      <c r="OPW38" s="704"/>
      <c r="OPX38" s="704"/>
      <c r="OPY38" s="704"/>
      <c r="OPZ38" s="704"/>
      <c r="OQA38" s="704"/>
      <c r="OQB38" s="704"/>
      <c r="OQC38" s="704"/>
      <c r="OQD38" s="704"/>
      <c r="OQE38" s="704"/>
      <c r="OQF38" s="704"/>
      <c r="OQG38" s="704"/>
      <c r="OQH38" s="704"/>
      <c r="OQI38" s="704"/>
      <c r="OQJ38" s="704"/>
      <c r="OQK38" s="704"/>
      <c r="OQL38" s="704"/>
      <c r="OQM38" s="704"/>
      <c r="OQN38" s="704"/>
      <c r="OQO38" s="704"/>
      <c r="OQP38" s="704"/>
      <c r="OQQ38" s="704"/>
      <c r="OQR38" s="704"/>
      <c r="OQS38" s="704"/>
      <c r="OQT38" s="704"/>
      <c r="OQU38" s="704"/>
      <c r="OQV38" s="704"/>
      <c r="OQW38" s="704"/>
      <c r="OQX38" s="704"/>
      <c r="OQY38" s="704"/>
      <c r="OQZ38" s="704"/>
      <c r="ORA38" s="704"/>
      <c r="ORB38" s="704"/>
      <c r="ORC38" s="704"/>
      <c r="ORD38" s="704"/>
      <c r="ORE38" s="704"/>
      <c r="ORF38" s="704"/>
      <c r="ORG38" s="704"/>
      <c r="ORH38" s="704"/>
      <c r="ORI38" s="704"/>
      <c r="ORJ38" s="704"/>
      <c r="ORK38" s="704"/>
      <c r="ORL38" s="704"/>
      <c r="ORM38" s="704"/>
      <c r="ORN38" s="704"/>
      <c r="ORO38" s="704"/>
      <c r="ORP38" s="704"/>
      <c r="ORQ38" s="704"/>
      <c r="ORR38" s="704"/>
      <c r="ORS38" s="704"/>
      <c r="ORT38" s="704"/>
      <c r="ORU38" s="704"/>
      <c r="ORV38" s="704"/>
      <c r="ORW38" s="704"/>
      <c r="ORX38" s="704"/>
      <c r="ORY38" s="704"/>
      <c r="ORZ38" s="704"/>
      <c r="OSA38" s="704"/>
      <c r="OSB38" s="704"/>
      <c r="OSC38" s="704"/>
      <c r="OSD38" s="704"/>
      <c r="OSE38" s="704"/>
      <c r="OSF38" s="704"/>
      <c r="OSG38" s="704"/>
      <c r="OSH38" s="704"/>
      <c r="OSI38" s="704"/>
      <c r="OSJ38" s="704"/>
      <c r="OSK38" s="704"/>
      <c r="OSL38" s="704"/>
      <c r="OSM38" s="704"/>
      <c r="OSN38" s="704"/>
      <c r="OSO38" s="704"/>
      <c r="OSP38" s="704"/>
      <c r="OSQ38" s="704"/>
      <c r="OSR38" s="704"/>
      <c r="OSS38" s="704"/>
      <c r="OST38" s="704"/>
      <c r="OSU38" s="704"/>
      <c r="OSV38" s="704"/>
      <c r="OSW38" s="704"/>
      <c r="OSX38" s="704"/>
      <c r="OSY38" s="704"/>
      <c r="OSZ38" s="704"/>
      <c r="OTA38" s="704"/>
      <c r="OTB38" s="704"/>
      <c r="OTC38" s="704"/>
      <c r="OTD38" s="704"/>
      <c r="OTE38" s="704"/>
      <c r="OTF38" s="704"/>
      <c r="OTG38" s="704"/>
      <c r="OTH38" s="704"/>
      <c r="OTI38" s="704"/>
      <c r="OTJ38" s="704"/>
      <c r="OTK38" s="704"/>
      <c r="OTL38" s="704"/>
      <c r="OTM38" s="704"/>
      <c r="OTN38" s="704"/>
      <c r="OTO38" s="704"/>
      <c r="OTP38" s="704"/>
      <c r="OTQ38" s="704"/>
      <c r="OTR38" s="704"/>
      <c r="OTS38" s="704"/>
      <c r="OTT38" s="704"/>
      <c r="OTU38" s="704"/>
      <c r="OTV38" s="704"/>
      <c r="OTW38" s="704"/>
      <c r="OTX38" s="704"/>
      <c r="OTY38" s="704"/>
      <c r="OTZ38" s="704"/>
      <c r="OUA38" s="704"/>
      <c r="OUB38" s="704"/>
      <c r="OUC38" s="704"/>
      <c r="OUD38" s="704"/>
      <c r="OUE38" s="704"/>
      <c r="OUF38" s="704"/>
      <c r="OUG38" s="704"/>
      <c r="OUH38" s="704"/>
      <c r="OUI38" s="704"/>
      <c r="OUJ38" s="704"/>
      <c r="OUK38" s="704"/>
      <c r="OUL38" s="704"/>
      <c r="OUM38" s="704"/>
      <c r="OUN38" s="704"/>
      <c r="OUO38" s="704"/>
      <c r="OUP38" s="704"/>
      <c r="OUQ38" s="704"/>
      <c r="OUR38" s="704"/>
      <c r="OUS38" s="704"/>
      <c r="OUT38" s="704"/>
      <c r="OUU38" s="704"/>
      <c r="OUV38" s="704"/>
      <c r="OUW38" s="704"/>
      <c r="OUX38" s="704"/>
      <c r="OUY38" s="704"/>
      <c r="OUZ38" s="704"/>
      <c r="OVA38" s="704"/>
      <c r="OVB38" s="704"/>
      <c r="OVC38" s="704"/>
      <c r="OVD38" s="704"/>
      <c r="OVE38" s="704"/>
      <c r="OVF38" s="704"/>
      <c r="OVG38" s="704"/>
      <c r="OVH38" s="704"/>
      <c r="OVI38" s="704"/>
      <c r="OVJ38" s="704"/>
      <c r="OVK38" s="704"/>
      <c r="OVL38" s="704"/>
      <c r="OVM38" s="704"/>
      <c r="OVN38" s="704"/>
      <c r="OVO38" s="704"/>
      <c r="OVP38" s="704"/>
      <c r="OVQ38" s="704"/>
      <c r="OVR38" s="704"/>
      <c r="OVS38" s="704"/>
      <c r="OVT38" s="704"/>
      <c r="OVU38" s="704"/>
      <c r="OVV38" s="704"/>
      <c r="OVW38" s="704"/>
      <c r="OVX38" s="704"/>
      <c r="OVY38" s="704"/>
      <c r="OVZ38" s="704"/>
      <c r="OWA38" s="704"/>
      <c r="OWB38" s="704"/>
      <c r="OWC38" s="704"/>
      <c r="OWD38" s="704"/>
      <c r="OWE38" s="704"/>
      <c r="OWF38" s="704"/>
      <c r="OWG38" s="704"/>
      <c r="OWH38" s="704"/>
      <c r="OWI38" s="704"/>
      <c r="OWJ38" s="704"/>
      <c r="OWK38" s="704"/>
      <c r="OWL38" s="704"/>
      <c r="OWM38" s="704"/>
      <c r="OWN38" s="704"/>
      <c r="OWO38" s="704"/>
      <c r="OWP38" s="704"/>
      <c r="OWQ38" s="704"/>
      <c r="OWR38" s="704"/>
      <c r="OWS38" s="704"/>
      <c r="OWT38" s="704"/>
      <c r="OWU38" s="704"/>
      <c r="OWV38" s="704"/>
      <c r="OWW38" s="704"/>
      <c r="OWX38" s="704"/>
      <c r="OWY38" s="704"/>
      <c r="OWZ38" s="704"/>
      <c r="OXA38" s="704"/>
      <c r="OXB38" s="704"/>
      <c r="OXC38" s="704"/>
      <c r="OXD38" s="704"/>
      <c r="OXE38" s="704"/>
      <c r="OXF38" s="704"/>
      <c r="OXG38" s="704"/>
      <c r="OXH38" s="704"/>
      <c r="OXI38" s="704"/>
      <c r="OXJ38" s="704"/>
      <c r="OXK38" s="704"/>
      <c r="OXL38" s="704"/>
      <c r="OXM38" s="704"/>
      <c r="OXN38" s="704"/>
      <c r="OXO38" s="704"/>
      <c r="OXP38" s="704"/>
      <c r="OXQ38" s="704"/>
      <c r="OXR38" s="704"/>
      <c r="OXS38" s="704"/>
      <c r="OXT38" s="704"/>
      <c r="OXU38" s="704"/>
      <c r="OXV38" s="704"/>
      <c r="OXW38" s="704"/>
      <c r="OXX38" s="704"/>
      <c r="OXY38" s="704"/>
      <c r="OXZ38" s="704"/>
      <c r="OYA38" s="704"/>
      <c r="OYB38" s="704"/>
      <c r="OYC38" s="704"/>
      <c r="OYD38" s="704"/>
      <c r="OYE38" s="704"/>
      <c r="OYF38" s="704"/>
      <c r="OYG38" s="704"/>
      <c r="OYH38" s="704"/>
      <c r="OYI38" s="704"/>
      <c r="OYJ38" s="704"/>
      <c r="OYK38" s="704"/>
      <c r="OYL38" s="704"/>
      <c r="OYM38" s="704"/>
      <c r="OYN38" s="704"/>
      <c r="OYO38" s="704"/>
      <c r="OYP38" s="704"/>
      <c r="OYQ38" s="704"/>
      <c r="OYR38" s="704"/>
      <c r="OYS38" s="704"/>
      <c r="OYT38" s="704"/>
      <c r="OYU38" s="704"/>
      <c r="OYV38" s="704"/>
      <c r="OYW38" s="704"/>
      <c r="OYX38" s="704"/>
      <c r="OYY38" s="704"/>
      <c r="OYZ38" s="704"/>
      <c r="OZA38" s="704"/>
      <c r="OZB38" s="704"/>
      <c r="OZC38" s="704"/>
      <c r="OZD38" s="704"/>
      <c r="OZE38" s="704"/>
      <c r="OZF38" s="704"/>
      <c r="OZG38" s="704"/>
      <c r="OZH38" s="704"/>
      <c r="OZI38" s="704"/>
      <c r="OZJ38" s="704"/>
      <c r="OZK38" s="704"/>
      <c r="OZL38" s="704"/>
      <c r="OZM38" s="704"/>
      <c r="OZN38" s="704"/>
      <c r="OZO38" s="704"/>
      <c r="OZP38" s="704"/>
      <c r="OZQ38" s="704"/>
      <c r="OZR38" s="704"/>
      <c r="OZS38" s="704"/>
      <c r="OZT38" s="704"/>
      <c r="OZU38" s="704"/>
      <c r="OZV38" s="704"/>
      <c r="OZW38" s="704"/>
      <c r="OZX38" s="704"/>
      <c r="OZY38" s="704"/>
      <c r="OZZ38" s="704"/>
      <c r="PAA38" s="704"/>
      <c r="PAB38" s="704"/>
      <c r="PAC38" s="704"/>
      <c r="PAD38" s="704"/>
      <c r="PAE38" s="704"/>
      <c r="PAF38" s="704"/>
      <c r="PAG38" s="704"/>
      <c r="PAH38" s="704"/>
      <c r="PAI38" s="704"/>
      <c r="PAJ38" s="704"/>
      <c r="PAK38" s="704"/>
      <c r="PAL38" s="704"/>
      <c r="PAM38" s="704"/>
      <c r="PAN38" s="704"/>
      <c r="PAO38" s="704"/>
      <c r="PAP38" s="704"/>
      <c r="PAQ38" s="704"/>
      <c r="PAR38" s="704"/>
      <c r="PAS38" s="704"/>
      <c r="PAT38" s="704"/>
      <c r="PAU38" s="704"/>
      <c r="PAV38" s="704"/>
      <c r="PAW38" s="704"/>
      <c r="PAX38" s="704"/>
      <c r="PAY38" s="704"/>
      <c r="PAZ38" s="704"/>
      <c r="PBA38" s="704"/>
      <c r="PBB38" s="704"/>
      <c r="PBC38" s="704"/>
      <c r="PBD38" s="704"/>
      <c r="PBE38" s="704"/>
      <c r="PBF38" s="704"/>
      <c r="PBG38" s="704"/>
      <c r="PBH38" s="704"/>
      <c r="PBI38" s="704"/>
      <c r="PBJ38" s="704"/>
      <c r="PBK38" s="704"/>
      <c r="PBL38" s="704"/>
      <c r="PBM38" s="704"/>
      <c r="PBN38" s="704"/>
      <c r="PBO38" s="704"/>
      <c r="PBP38" s="704"/>
      <c r="PBQ38" s="704"/>
      <c r="PBR38" s="704"/>
      <c r="PBS38" s="704"/>
      <c r="PBT38" s="704"/>
      <c r="PBU38" s="704"/>
      <c r="PBV38" s="704"/>
      <c r="PBW38" s="704"/>
      <c r="PBX38" s="704"/>
      <c r="PBY38" s="704"/>
      <c r="PBZ38" s="704"/>
      <c r="PCA38" s="704"/>
      <c r="PCB38" s="704"/>
      <c r="PCC38" s="704"/>
      <c r="PCD38" s="704"/>
      <c r="PCE38" s="704"/>
      <c r="PCF38" s="704"/>
      <c r="PCG38" s="704"/>
      <c r="PCH38" s="704"/>
      <c r="PCI38" s="704"/>
      <c r="PCJ38" s="704"/>
      <c r="PCK38" s="704"/>
      <c r="PCL38" s="704"/>
      <c r="PCM38" s="704"/>
      <c r="PCN38" s="704"/>
      <c r="PCO38" s="704"/>
      <c r="PCP38" s="704"/>
      <c r="PCQ38" s="704"/>
      <c r="PCR38" s="704"/>
      <c r="PCS38" s="704"/>
      <c r="PCT38" s="704"/>
      <c r="PCU38" s="704"/>
      <c r="PCV38" s="704"/>
      <c r="PCW38" s="704"/>
      <c r="PCX38" s="704"/>
      <c r="PCY38" s="704"/>
      <c r="PCZ38" s="704"/>
      <c r="PDA38" s="704"/>
      <c r="PDB38" s="704"/>
      <c r="PDC38" s="704"/>
      <c r="PDD38" s="704"/>
      <c r="PDE38" s="704"/>
      <c r="PDF38" s="704"/>
      <c r="PDG38" s="704"/>
      <c r="PDH38" s="704"/>
      <c r="PDI38" s="704"/>
      <c r="PDJ38" s="704"/>
      <c r="PDK38" s="704"/>
      <c r="PDL38" s="704"/>
      <c r="PDM38" s="704"/>
      <c r="PDN38" s="704"/>
      <c r="PDO38" s="704"/>
      <c r="PDP38" s="704"/>
      <c r="PDQ38" s="704"/>
      <c r="PDR38" s="704"/>
      <c r="PDS38" s="704"/>
      <c r="PDT38" s="704"/>
      <c r="PDU38" s="704"/>
      <c r="PDV38" s="704"/>
      <c r="PDW38" s="704"/>
      <c r="PDX38" s="704"/>
      <c r="PDY38" s="704"/>
      <c r="PDZ38" s="704"/>
      <c r="PEA38" s="704"/>
      <c r="PEB38" s="704"/>
      <c r="PEC38" s="704"/>
      <c r="PED38" s="704"/>
      <c r="PEE38" s="704"/>
      <c r="PEF38" s="704"/>
      <c r="PEG38" s="704"/>
      <c r="PEH38" s="704"/>
      <c r="PEI38" s="704"/>
      <c r="PEJ38" s="704"/>
      <c r="PEK38" s="704"/>
      <c r="PEL38" s="704"/>
      <c r="PEM38" s="704"/>
      <c r="PEN38" s="704"/>
      <c r="PEO38" s="704"/>
      <c r="PEP38" s="704"/>
      <c r="PEQ38" s="704"/>
      <c r="PER38" s="704"/>
      <c r="PES38" s="704"/>
      <c r="PET38" s="704"/>
      <c r="PEU38" s="704"/>
      <c r="PEV38" s="704"/>
      <c r="PEW38" s="704"/>
      <c r="PEX38" s="704"/>
      <c r="PEY38" s="704"/>
      <c r="PEZ38" s="704"/>
      <c r="PFA38" s="704"/>
      <c r="PFB38" s="704"/>
      <c r="PFC38" s="704"/>
      <c r="PFD38" s="704"/>
      <c r="PFE38" s="704"/>
      <c r="PFF38" s="704"/>
      <c r="PFG38" s="704"/>
      <c r="PFH38" s="704"/>
      <c r="PFI38" s="704"/>
      <c r="PFJ38" s="704"/>
      <c r="PFK38" s="704"/>
      <c r="PFL38" s="704"/>
      <c r="PFM38" s="704"/>
      <c r="PFN38" s="704"/>
      <c r="PFO38" s="704"/>
      <c r="PFP38" s="704"/>
      <c r="PFQ38" s="704"/>
      <c r="PFR38" s="704"/>
      <c r="PFS38" s="704"/>
      <c r="PFT38" s="704"/>
      <c r="PFU38" s="704"/>
      <c r="PFV38" s="704"/>
      <c r="PFW38" s="704"/>
      <c r="PFX38" s="704"/>
      <c r="PFY38" s="704"/>
      <c r="PFZ38" s="704"/>
      <c r="PGA38" s="704"/>
      <c r="PGB38" s="704"/>
      <c r="PGC38" s="704"/>
      <c r="PGD38" s="704"/>
      <c r="PGE38" s="704"/>
      <c r="PGF38" s="704"/>
      <c r="PGG38" s="704"/>
      <c r="PGH38" s="704"/>
      <c r="PGI38" s="704"/>
      <c r="PGJ38" s="704"/>
      <c r="PGK38" s="704"/>
      <c r="PGL38" s="704"/>
      <c r="PGM38" s="704"/>
      <c r="PGN38" s="704"/>
      <c r="PGO38" s="704"/>
      <c r="PGP38" s="704"/>
      <c r="PGQ38" s="704"/>
      <c r="PGR38" s="704"/>
      <c r="PGS38" s="704"/>
      <c r="PGT38" s="704"/>
      <c r="PGU38" s="704"/>
      <c r="PGV38" s="704"/>
      <c r="PGW38" s="704"/>
      <c r="PGX38" s="704"/>
      <c r="PGY38" s="704"/>
      <c r="PGZ38" s="704"/>
      <c r="PHA38" s="704"/>
      <c r="PHB38" s="704"/>
      <c r="PHC38" s="704"/>
      <c r="PHD38" s="704"/>
      <c r="PHE38" s="704"/>
      <c r="PHF38" s="704"/>
      <c r="PHG38" s="704"/>
      <c r="PHH38" s="704"/>
      <c r="PHI38" s="704"/>
      <c r="PHJ38" s="704"/>
      <c r="PHK38" s="704"/>
      <c r="PHL38" s="704"/>
      <c r="PHM38" s="704"/>
      <c r="PHN38" s="704"/>
      <c r="PHO38" s="704"/>
      <c r="PHP38" s="704"/>
      <c r="PHQ38" s="704"/>
      <c r="PHR38" s="704"/>
      <c r="PHS38" s="704"/>
      <c r="PHT38" s="704"/>
      <c r="PHU38" s="704"/>
      <c r="PHV38" s="704"/>
      <c r="PHW38" s="704"/>
      <c r="PHX38" s="704"/>
      <c r="PHY38" s="704"/>
      <c r="PHZ38" s="704"/>
      <c r="PIA38" s="704"/>
      <c r="PIB38" s="704"/>
      <c r="PIC38" s="704"/>
      <c r="PID38" s="704"/>
      <c r="PIE38" s="704"/>
      <c r="PIF38" s="704"/>
      <c r="PIG38" s="704"/>
      <c r="PIH38" s="704"/>
      <c r="PII38" s="704"/>
      <c r="PIJ38" s="704"/>
      <c r="PIK38" s="704"/>
      <c r="PIL38" s="704"/>
      <c r="PIM38" s="704"/>
      <c r="PIN38" s="704"/>
      <c r="PIO38" s="704"/>
      <c r="PIP38" s="704"/>
      <c r="PIQ38" s="704"/>
      <c r="PIR38" s="704"/>
      <c r="PIS38" s="704"/>
      <c r="PIT38" s="704"/>
      <c r="PIU38" s="704"/>
      <c r="PIV38" s="704"/>
      <c r="PIW38" s="704"/>
      <c r="PIX38" s="704"/>
      <c r="PIY38" s="704"/>
      <c r="PIZ38" s="704"/>
      <c r="PJA38" s="704"/>
      <c r="PJB38" s="704"/>
      <c r="PJC38" s="704"/>
      <c r="PJD38" s="704"/>
      <c r="PJE38" s="704"/>
      <c r="PJF38" s="704"/>
      <c r="PJG38" s="704"/>
      <c r="PJH38" s="704"/>
      <c r="PJI38" s="704"/>
      <c r="PJJ38" s="704"/>
      <c r="PJK38" s="704"/>
      <c r="PJL38" s="704"/>
      <c r="PJM38" s="704"/>
      <c r="PJN38" s="704"/>
      <c r="PJO38" s="704"/>
      <c r="PJP38" s="704"/>
      <c r="PJQ38" s="704"/>
      <c r="PJR38" s="704"/>
      <c r="PJS38" s="704"/>
      <c r="PJT38" s="704"/>
      <c r="PJU38" s="704"/>
      <c r="PJV38" s="704"/>
      <c r="PJW38" s="704"/>
      <c r="PJX38" s="704"/>
      <c r="PJY38" s="704"/>
      <c r="PJZ38" s="704"/>
      <c r="PKA38" s="704"/>
      <c r="PKB38" s="704"/>
      <c r="PKC38" s="704"/>
      <c r="PKD38" s="704"/>
      <c r="PKE38" s="704"/>
      <c r="PKF38" s="704"/>
      <c r="PKG38" s="704"/>
      <c r="PKH38" s="704"/>
      <c r="PKI38" s="704"/>
      <c r="PKJ38" s="704"/>
      <c r="PKK38" s="704"/>
      <c r="PKL38" s="704"/>
      <c r="PKM38" s="704"/>
      <c r="PKN38" s="704"/>
      <c r="PKO38" s="704"/>
      <c r="PKP38" s="704"/>
      <c r="PKQ38" s="704"/>
      <c r="PKR38" s="704"/>
      <c r="PKS38" s="704"/>
      <c r="PKT38" s="704"/>
      <c r="PKU38" s="704"/>
      <c r="PKV38" s="704"/>
      <c r="PKW38" s="704"/>
      <c r="PKX38" s="704"/>
      <c r="PKY38" s="704"/>
      <c r="PKZ38" s="704"/>
      <c r="PLA38" s="704"/>
      <c r="PLB38" s="704"/>
      <c r="PLC38" s="704"/>
      <c r="PLD38" s="704"/>
      <c r="PLE38" s="704"/>
      <c r="PLF38" s="704"/>
      <c r="PLG38" s="704"/>
      <c r="PLH38" s="704"/>
      <c r="PLI38" s="704"/>
      <c r="PLJ38" s="704"/>
      <c r="PLK38" s="704"/>
      <c r="PLL38" s="704"/>
      <c r="PLM38" s="704"/>
      <c r="PLN38" s="704"/>
      <c r="PLO38" s="704"/>
      <c r="PLP38" s="704"/>
      <c r="PLQ38" s="704"/>
      <c r="PLR38" s="704"/>
      <c r="PLS38" s="704"/>
      <c r="PLT38" s="704"/>
      <c r="PLU38" s="704"/>
      <c r="PLV38" s="704"/>
      <c r="PLW38" s="704"/>
      <c r="PLX38" s="704"/>
      <c r="PLY38" s="704"/>
      <c r="PLZ38" s="704"/>
      <c r="PMA38" s="704"/>
      <c r="PMB38" s="704"/>
      <c r="PMC38" s="704"/>
      <c r="PMD38" s="704"/>
      <c r="PME38" s="704"/>
      <c r="PMF38" s="704"/>
      <c r="PMG38" s="704"/>
      <c r="PMH38" s="704"/>
      <c r="PMI38" s="704"/>
      <c r="PMJ38" s="704"/>
      <c r="PMK38" s="704"/>
      <c r="PML38" s="704"/>
      <c r="PMM38" s="704"/>
      <c r="PMN38" s="704"/>
      <c r="PMO38" s="704"/>
      <c r="PMP38" s="704"/>
      <c r="PMQ38" s="704"/>
      <c r="PMR38" s="704"/>
      <c r="PMS38" s="704"/>
      <c r="PMT38" s="704"/>
      <c r="PMU38" s="704"/>
      <c r="PMV38" s="704"/>
      <c r="PMW38" s="704"/>
      <c r="PMX38" s="704"/>
      <c r="PMY38" s="704"/>
      <c r="PMZ38" s="704"/>
      <c r="PNA38" s="704"/>
      <c r="PNB38" s="704"/>
      <c r="PNC38" s="704"/>
      <c r="PND38" s="704"/>
      <c r="PNE38" s="704"/>
      <c r="PNF38" s="704"/>
      <c r="PNG38" s="704"/>
      <c r="PNH38" s="704"/>
      <c r="PNI38" s="704"/>
      <c r="PNJ38" s="704"/>
      <c r="PNK38" s="704"/>
      <c r="PNL38" s="704"/>
      <c r="PNM38" s="704"/>
      <c r="PNN38" s="704"/>
      <c r="PNO38" s="704"/>
      <c r="PNP38" s="704"/>
      <c r="PNQ38" s="704"/>
      <c r="PNR38" s="704"/>
      <c r="PNS38" s="704"/>
      <c r="PNT38" s="704"/>
      <c r="PNU38" s="704"/>
      <c r="PNV38" s="704"/>
      <c r="PNW38" s="704"/>
      <c r="PNX38" s="704"/>
      <c r="PNY38" s="704"/>
      <c r="PNZ38" s="704"/>
      <c r="POA38" s="704"/>
      <c r="POB38" s="704"/>
      <c r="POC38" s="704"/>
      <c r="POD38" s="704"/>
      <c r="POE38" s="704"/>
      <c r="POF38" s="704"/>
      <c r="POG38" s="704"/>
      <c r="POH38" s="704"/>
      <c r="POI38" s="704"/>
      <c r="POJ38" s="704"/>
      <c r="POK38" s="704"/>
      <c r="POL38" s="704"/>
      <c r="POM38" s="704"/>
      <c r="PON38" s="704"/>
      <c r="POO38" s="704"/>
      <c r="POP38" s="704"/>
      <c r="POQ38" s="704"/>
      <c r="POR38" s="704"/>
      <c r="POS38" s="704"/>
      <c r="POT38" s="704"/>
      <c r="POU38" s="704"/>
      <c r="POV38" s="704"/>
      <c r="POW38" s="704"/>
      <c r="POX38" s="704"/>
      <c r="POY38" s="704"/>
      <c r="POZ38" s="704"/>
      <c r="PPA38" s="704"/>
      <c r="PPB38" s="704"/>
      <c r="PPC38" s="704"/>
      <c r="PPD38" s="704"/>
      <c r="PPE38" s="704"/>
      <c r="PPF38" s="704"/>
      <c r="PPG38" s="704"/>
      <c r="PPH38" s="704"/>
      <c r="PPI38" s="704"/>
      <c r="PPJ38" s="704"/>
      <c r="PPK38" s="704"/>
      <c r="PPL38" s="704"/>
      <c r="PPM38" s="704"/>
      <c r="PPN38" s="704"/>
      <c r="PPO38" s="704"/>
      <c r="PPP38" s="704"/>
      <c r="PPQ38" s="704"/>
      <c r="PPR38" s="704"/>
      <c r="PPS38" s="704"/>
      <c r="PPT38" s="704"/>
      <c r="PPU38" s="704"/>
      <c r="PPV38" s="704"/>
      <c r="PPW38" s="704"/>
      <c r="PPX38" s="704"/>
      <c r="PPY38" s="704"/>
      <c r="PPZ38" s="704"/>
      <c r="PQA38" s="704"/>
      <c r="PQB38" s="704"/>
      <c r="PQC38" s="704"/>
      <c r="PQD38" s="704"/>
      <c r="PQE38" s="704"/>
      <c r="PQF38" s="704"/>
      <c r="PQG38" s="704"/>
      <c r="PQH38" s="704"/>
      <c r="PQI38" s="704"/>
      <c r="PQJ38" s="704"/>
      <c r="PQK38" s="704"/>
      <c r="PQL38" s="704"/>
      <c r="PQM38" s="704"/>
      <c r="PQN38" s="704"/>
      <c r="PQO38" s="704"/>
      <c r="PQP38" s="704"/>
      <c r="PQQ38" s="704"/>
      <c r="PQR38" s="704"/>
      <c r="PQS38" s="704"/>
      <c r="PQT38" s="704"/>
      <c r="PQU38" s="704"/>
      <c r="PQV38" s="704"/>
      <c r="PQW38" s="704"/>
      <c r="PQX38" s="704"/>
      <c r="PQY38" s="704"/>
      <c r="PQZ38" s="704"/>
      <c r="PRA38" s="704"/>
      <c r="PRB38" s="704"/>
      <c r="PRC38" s="704"/>
      <c r="PRD38" s="704"/>
      <c r="PRE38" s="704"/>
      <c r="PRF38" s="704"/>
      <c r="PRG38" s="704"/>
      <c r="PRH38" s="704"/>
      <c r="PRI38" s="704"/>
      <c r="PRJ38" s="704"/>
      <c r="PRK38" s="704"/>
      <c r="PRL38" s="704"/>
      <c r="PRM38" s="704"/>
      <c r="PRN38" s="704"/>
      <c r="PRO38" s="704"/>
      <c r="PRP38" s="704"/>
      <c r="PRQ38" s="704"/>
      <c r="PRR38" s="704"/>
      <c r="PRS38" s="704"/>
      <c r="PRT38" s="704"/>
      <c r="PRU38" s="704"/>
      <c r="PRV38" s="704"/>
      <c r="PRW38" s="704"/>
      <c r="PRX38" s="704"/>
      <c r="PRY38" s="704"/>
      <c r="PRZ38" s="704"/>
      <c r="PSA38" s="704"/>
      <c r="PSB38" s="704"/>
      <c r="PSC38" s="704"/>
      <c r="PSD38" s="704"/>
      <c r="PSE38" s="704"/>
      <c r="PSF38" s="704"/>
      <c r="PSG38" s="704"/>
      <c r="PSH38" s="704"/>
      <c r="PSI38" s="704"/>
      <c r="PSJ38" s="704"/>
      <c r="PSK38" s="704"/>
      <c r="PSL38" s="704"/>
      <c r="PSM38" s="704"/>
      <c r="PSN38" s="704"/>
      <c r="PSO38" s="704"/>
      <c r="PSP38" s="704"/>
      <c r="PSQ38" s="704"/>
      <c r="PSR38" s="704"/>
      <c r="PSS38" s="704"/>
      <c r="PST38" s="704"/>
      <c r="PSU38" s="704"/>
      <c r="PSV38" s="704"/>
      <c r="PSW38" s="704"/>
      <c r="PSX38" s="704"/>
      <c r="PSY38" s="704"/>
      <c r="PSZ38" s="704"/>
      <c r="PTA38" s="704"/>
      <c r="PTB38" s="704"/>
      <c r="PTC38" s="704"/>
      <c r="PTD38" s="704"/>
      <c r="PTE38" s="704"/>
      <c r="PTF38" s="704"/>
      <c r="PTG38" s="704"/>
      <c r="PTH38" s="704"/>
      <c r="PTI38" s="704"/>
      <c r="PTJ38" s="704"/>
      <c r="PTK38" s="704"/>
      <c r="PTL38" s="704"/>
      <c r="PTM38" s="704"/>
      <c r="PTN38" s="704"/>
      <c r="PTO38" s="704"/>
      <c r="PTP38" s="704"/>
      <c r="PTQ38" s="704"/>
      <c r="PTR38" s="704"/>
      <c r="PTS38" s="704"/>
      <c r="PTT38" s="704"/>
      <c r="PTU38" s="704"/>
      <c r="PTV38" s="704"/>
      <c r="PTW38" s="704"/>
      <c r="PTX38" s="704"/>
      <c r="PTY38" s="704"/>
      <c r="PTZ38" s="704"/>
      <c r="PUA38" s="704"/>
      <c r="PUB38" s="704"/>
      <c r="PUC38" s="704"/>
      <c r="PUD38" s="704"/>
      <c r="PUE38" s="704"/>
      <c r="PUF38" s="704"/>
      <c r="PUG38" s="704"/>
      <c r="PUH38" s="704"/>
      <c r="PUI38" s="704"/>
      <c r="PUJ38" s="704"/>
      <c r="PUK38" s="704"/>
      <c r="PUL38" s="704"/>
      <c r="PUM38" s="704"/>
      <c r="PUN38" s="704"/>
      <c r="PUO38" s="704"/>
      <c r="PUP38" s="704"/>
      <c r="PUQ38" s="704"/>
      <c r="PUR38" s="704"/>
      <c r="PUS38" s="704"/>
      <c r="PUT38" s="704"/>
      <c r="PUU38" s="704"/>
      <c r="PUV38" s="704"/>
      <c r="PUW38" s="704"/>
      <c r="PUX38" s="704"/>
      <c r="PUY38" s="704"/>
      <c r="PUZ38" s="704"/>
      <c r="PVA38" s="704"/>
      <c r="PVB38" s="704"/>
      <c r="PVC38" s="704"/>
      <c r="PVD38" s="704"/>
      <c r="PVE38" s="704"/>
      <c r="PVF38" s="704"/>
      <c r="PVG38" s="704"/>
      <c r="PVH38" s="704"/>
      <c r="PVI38" s="704"/>
      <c r="PVJ38" s="704"/>
      <c r="PVK38" s="704"/>
      <c r="PVL38" s="704"/>
      <c r="PVM38" s="704"/>
      <c r="PVN38" s="704"/>
      <c r="PVO38" s="704"/>
      <c r="PVP38" s="704"/>
      <c r="PVQ38" s="704"/>
      <c r="PVR38" s="704"/>
      <c r="PVS38" s="704"/>
      <c r="PVT38" s="704"/>
      <c r="PVU38" s="704"/>
      <c r="PVV38" s="704"/>
      <c r="PVW38" s="704"/>
      <c r="PVX38" s="704"/>
      <c r="PVY38" s="704"/>
      <c r="PVZ38" s="704"/>
      <c r="PWA38" s="704"/>
      <c r="PWB38" s="704"/>
      <c r="PWC38" s="704"/>
      <c r="PWD38" s="704"/>
      <c r="PWE38" s="704"/>
      <c r="PWF38" s="704"/>
      <c r="PWG38" s="704"/>
      <c r="PWH38" s="704"/>
      <c r="PWI38" s="704"/>
      <c r="PWJ38" s="704"/>
      <c r="PWK38" s="704"/>
      <c r="PWL38" s="704"/>
      <c r="PWM38" s="704"/>
      <c r="PWN38" s="704"/>
      <c r="PWO38" s="704"/>
      <c r="PWP38" s="704"/>
      <c r="PWQ38" s="704"/>
      <c r="PWR38" s="704"/>
      <c r="PWS38" s="704"/>
      <c r="PWT38" s="704"/>
      <c r="PWU38" s="704"/>
      <c r="PWV38" s="704"/>
      <c r="PWW38" s="704"/>
      <c r="PWX38" s="704"/>
      <c r="PWY38" s="704"/>
      <c r="PWZ38" s="704"/>
      <c r="PXA38" s="704"/>
      <c r="PXB38" s="704"/>
      <c r="PXC38" s="704"/>
      <c r="PXD38" s="704"/>
      <c r="PXE38" s="704"/>
      <c r="PXF38" s="704"/>
      <c r="PXG38" s="704"/>
      <c r="PXH38" s="704"/>
      <c r="PXI38" s="704"/>
      <c r="PXJ38" s="704"/>
      <c r="PXK38" s="704"/>
      <c r="PXL38" s="704"/>
      <c r="PXM38" s="704"/>
      <c r="PXN38" s="704"/>
      <c r="PXO38" s="704"/>
      <c r="PXP38" s="704"/>
      <c r="PXQ38" s="704"/>
      <c r="PXR38" s="704"/>
      <c r="PXS38" s="704"/>
      <c r="PXT38" s="704"/>
      <c r="PXU38" s="704"/>
      <c r="PXV38" s="704"/>
      <c r="PXW38" s="704"/>
      <c r="PXX38" s="704"/>
      <c r="PXY38" s="704"/>
      <c r="PXZ38" s="704"/>
      <c r="PYA38" s="704"/>
      <c r="PYB38" s="704"/>
      <c r="PYC38" s="704"/>
      <c r="PYD38" s="704"/>
      <c r="PYE38" s="704"/>
      <c r="PYF38" s="704"/>
      <c r="PYG38" s="704"/>
      <c r="PYH38" s="704"/>
      <c r="PYI38" s="704"/>
      <c r="PYJ38" s="704"/>
      <c r="PYK38" s="704"/>
      <c r="PYL38" s="704"/>
      <c r="PYM38" s="704"/>
      <c r="PYN38" s="704"/>
      <c r="PYO38" s="704"/>
      <c r="PYP38" s="704"/>
      <c r="PYQ38" s="704"/>
      <c r="PYR38" s="704"/>
      <c r="PYS38" s="704"/>
      <c r="PYT38" s="704"/>
      <c r="PYU38" s="704"/>
      <c r="PYV38" s="704"/>
      <c r="PYW38" s="704"/>
      <c r="PYX38" s="704"/>
      <c r="PYY38" s="704"/>
      <c r="PYZ38" s="704"/>
      <c r="PZA38" s="704"/>
      <c r="PZB38" s="704"/>
      <c r="PZC38" s="704"/>
      <c r="PZD38" s="704"/>
      <c r="PZE38" s="704"/>
      <c r="PZF38" s="704"/>
      <c r="PZG38" s="704"/>
      <c r="PZH38" s="704"/>
      <c r="PZI38" s="704"/>
      <c r="PZJ38" s="704"/>
      <c r="PZK38" s="704"/>
      <c r="PZL38" s="704"/>
      <c r="PZM38" s="704"/>
      <c r="PZN38" s="704"/>
      <c r="PZO38" s="704"/>
      <c r="PZP38" s="704"/>
      <c r="PZQ38" s="704"/>
      <c r="PZR38" s="704"/>
      <c r="PZS38" s="704"/>
      <c r="PZT38" s="704"/>
      <c r="PZU38" s="704"/>
      <c r="PZV38" s="704"/>
      <c r="PZW38" s="704"/>
      <c r="PZX38" s="704"/>
      <c r="PZY38" s="704"/>
      <c r="PZZ38" s="704"/>
      <c r="QAA38" s="704"/>
      <c r="QAB38" s="704"/>
      <c r="QAC38" s="704"/>
      <c r="QAD38" s="704"/>
      <c r="QAE38" s="704"/>
      <c r="QAF38" s="704"/>
      <c r="QAG38" s="704"/>
      <c r="QAH38" s="704"/>
      <c r="QAI38" s="704"/>
      <c r="QAJ38" s="704"/>
      <c r="QAK38" s="704"/>
      <c r="QAL38" s="704"/>
      <c r="QAM38" s="704"/>
      <c r="QAN38" s="704"/>
      <c r="QAO38" s="704"/>
      <c r="QAP38" s="704"/>
      <c r="QAQ38" s="704"/>
      <c r="QAR38" s="704"/>
      <c r="QAS38" s="704"/>
      <c r="QAT38" s="704"/>
      <c r="QAU38" s="704"/>
      <c r="QAV38" s="704"/>
      <c r="QAW38" s="704"/>
      <c r="QAX38" s="704"/>
      <c r="QAY38" s="704"/>
      <c r="QAZ38" s="704"/>
      <c r="QBA38" s="704"/>
      <c r="QBB38" s="704"/>
      <c r="QBC38" s="704"/>
      <c r="QBD38" s="704"/>
      <c r="QBE38" s="704"/>
      <c r="QBF38" s="704"/>
      <c r="QBG38" s="704"/>
      <c r="QBH38" s="704"/>
      <c r="QBI38" s="704"/>
      <c r="QBJ38" s="704"/>
      <c r="QBK38" s="704"/>
      <c r="QBL38" s="704"/>
      <c r="QBM38" s="704"/>
      <c r="QBN38" s="704"/>
      <c r="QBO38" s="704"/>
      <c r="QBP38" s="704"/>
      <c r="QBQ38" s="704"/>
      <c r="QBR38" s="704"/>
      <c r="QBS38" s="704"/>
      <c r="QBT38" s="704"/>
      <c r="QBU38" s="704"/>
      <c r="QBV38" s="704"/>
      <c r="QBW38" s="704"/>
      <c r="QBX38" s="704"/>
      <c r="QBY38" s="704"/>
      <c r="QBZ38" s="704"/>
      <c r="QCA38" s="704"/>
      <c r="QCB38" s="704"/>
      <c r="QCC38" s="704"/>
      <c r="QCD38" s="704"/>
      <c r="QCE38" s="704"/>
      <c r="QCF38" s="704"/>
      <c r="QCG38" s="704"/>
      <c r="QCH38" s="704"/>
      <c r="QCI38" s="704"/>
      <c r="QCJ38" s="704"/>
      <c r="QCK38" s="704"/>
      <c r="QCL38" s="704"/>
      <c r="QCM38" s="704"/>
      <c r="QCN38" s="704"/>
      <c r="QCO38" s="704"/>
      <c r="QCP38" s="704"/>
      <c r="QCQ38" s="704"/>
      <c r="QCR38" s="704"/>
      <c r="QCS38" s="704"/>
      <c r="QCT38" s="704"/>
      <c r="QCU38" s="704"/>
      <c r="QCV38" s="704"/>
      <c r="QCW38" s="704"/>
      <c r="QCX38" s="704"/>
      <c r="QCY38" s="704"/>
      <c r="QCZ38" s="704"/>
      <c r="QDA38" s="704"/>
      <c r="QDB38" s="704"/>
      <c r="QDC38" s="704"/>
      <c r="QDD38" s="704"/>
      <c r="QDE38" s="704"/>
      <c r="QDF38" s="704"/>
      <c r="QDG38" s="704"/>
      <c r="QDH38" s="704"/>
      <c r="QDI38" s="704"/>
      <c r="QDJ38" s="704"/>
      <c r="QDK38" s="704"/>
      <c r="QDL38" s="704"/>
      <c r="QDM38" s="704"/>
      <c r="QDN38" s="704"/>
      <c r="QDO38" s="704"/>
      <c r="QDP38" s="704"/>
      <c r="QDQ38" s="704"/>
      <c r="QDR38" s="704"/>
      <c r="QDS38" s="704"/>
      <c r="QDT38" s="704"/>
      <c r="QDU38" s="704"/>
      <c r="QDV38" s="704"/>
      <c r="QDW38" s="704"/>
      <c r="QDX38" s="704"/>
      <c r="QDY38" s="704"/>
      <c r="QDZ38" s="704"/>
      <c r="QEA38" s="704"/>
      <c r="QEB38" s="704"/>
      <c r="QEC38" s="704"/>
      <c r="QED38" s="704"/>
      <c r="QEE38" s="704"/>
      <c r="QEF38" s="704"/>
      <c r="QEG38" s="704"/>
      <c r="QEH38" s="704"/>
      <c r="QEI38" s="704"/>
      <c r="QEJ38" s="704"/>
      <c r="QEK38" s="704"/>
      <c r="QEL38" s="704"/>
      <c r="QEM38" s="704"/>
      <c r="QEN38" s="704"/>
      <c r="QEO38" s="704"/>
      <c r="QEP38" s="704"/>
      <c r="QEQ38" s="704"/>
      <c r="QER38" s="704"/>
      <c r="QES38" s="704"/>
      <c r="QET38" s="704"/>
      <c r="QEU38" s="704"/>
      <c r="QEV38" s="704"/>
      <c r="QEW38" s="704"/>
      <c r="QEX38" s="704"/>
      <c r="QEY38" s="704"/>
      <c r="QEZ38" s="704"/>
      <c r="QFA38" s="704"/>
      <c r="QFB38" s="704"/>
      <c r="QFC38" s="704"/>
      <c r="QFD38" s="704"/>
      <c r="QFE38" s="704"/>
      <c r="QFF38" s="704"/>
      <c r="QFG38" s="704"/>
      <c r="QFH38" s="704"/>
      <c r="QFI38" s="704"/>
      <c r="QFJ38" s="704"/>
      <c r="QFK38" s="704"/>
      <c r="QFL38" s="704"/>
      <c r="QFM38" s="704"/>
      <c r="QFN38" s="704"/>
      <c r="QFO38" s="704"/>
      <c r="QFP38" s="704"/>
      <c r="QFQ38" s="704"/>
      <c r="QFR38" s="704"/>
      <c r="QFS38" s="704"/>
      <c r="QFT38" s="704"/>
      <c r="QFU38" s="704"/>
      <c r="QFV38" s="704"/>
      <c r="QFW38" s="704"/>
      <c r="QFX38" s="704"/>
      <c r="QFY38" s="704"/>
      <c r="QFZ38" s="704"/>
      <c r="QGA38" s="704"/>
      <c r="QGB38" s="704"/>
      <c r="QGC38" s="704"/>
      <c r="QGD38" s="704"/>
      <c r="QGE38" s="704"/>
      <c r="QGF38" s="704"/>
      <c r="QGG38" s="704"/>
      <c r="QGH38" s="704"/>
      <c r="QGI38" s="704"/>
      <c r="QGJ38" s="704"/>
      <c r="QGK38" s="704"/>
      <c r="QGL38" s="704"/>
      <c r="QGM38" s="704"/>
      <c r="QGN38" s="704"/>
      <c r="QGO38" s="704"/>
      <c r="QGP38" s="704"/>
      <c r="QGQ38" s="704"/>
      <c r="QGR38" s="704"/>
      <c r="QGS38" s="704"/>
      <c r="QGT38" s="704"/>
      <c r="QGU38" s="704"/>
      <c r="QGV38" s="704"/>
      <c r="QGW38" s="704"/>
      <c r="QGX38" s="704"/>
      <c r="QGY38" s="704"/>
      <c r="QGZ38" s="704"/>
      <c r="QHA38" s="704"/>
      <c r="QHB38" s="704"/>
      <c r="QHC38" s="704"/>
      <c r="QHD38" s="704"/>
      <c r="QHE38" s="704"/>
      <c r="QHF38" s="704"/>
      <c r="QHG38" s="704"/>
      <c r="QHH38" s="704"/>
      <c r="QHI38" s="704"/>
      <c r="QHJ38" s="704"/>
      <c r="QHK38" s="704"/>
      <c r="QHL38" s="704"/>
      <c r="QHM38" s="704"/>
      <c r="QHN38" s="704"/>
      <c r="QHO38" s="704"/>
      <c r="QHP38" s="704"/>
      <c r="QHQ38" s="704"/>
      <c r="QHR38" s="704"/>
      <c r="QHS38" s="704"/>
      <c r="QHT38" s="704"/>
      <c r="QHU38" s="704"/>
      <c r="QHV38" s="704"/>
      <c r="QHW38" s="704"/>
      <c r="QHX38" s="704"/>
      <c r="QHY38" s="704"/>
      <c r="QHZ38" s="704"/>
      <c r="QIA38" s="704"/>
      <c r="QIB38" s="704"/>
      <c r="QIC38" s="704"/>
      <c r="QID38" s="704"/>
      <c r="QIE38" s="704"/>
      <c r="QIF38" s="704"/>
      <c r="QIG38" s="704"/>
      <c r="QIH38" s="704"/>
      <c r="QII38" s="704"/>
      <c r="QIJ38" s="704"/>
      <c r="QIK38" s="704"/>
      <c r="QIL38" s="704"/>
      <c r="QIM38" s="704"/>
      <c r="QIN38" s="704"/>
      <c r="QIO38" s="704"/>
      <c r="QIP38" s="704"/>
      <c r="QIQ38" s="704"/>
      <c r="QIR38" s="704"/>
      <c r="QIS38" s="704"/>
      <c r="QIT38" s="704"/>
      <c r="QIU38" s="704"/>
      <c r="QIV38" s="704"/>
      <c r="QIW38" s="704"/>
      <c r="QIX38" s="704"/>
      <c r="QIY38" s="704"/>
      <c r="QIZ38" s="704"/>
      <c r="QJA38" s="704"/>
      <c r="QJB38" s="704"/>
      <c r="QJC38" s="704"/>
      <c r="QJD38" s="704"/>
      <c r="QJE38" s="704"/>
      <c r="QJF38" s="704"/>
      <c r="QJG38" s="704"/>
      <c r="QJH38" s="704"/>
      <c r="QJI38" s="704"/>
      <c r="QJJ38" s="704"/>
      <c r="QJK38" s="704"/>
      <c r="QJL38" s="704"/>
      <c r="QJM38" s="704"/>
      <c r="QJN38" s="704"/>
      <c r="QJO38" s="704"/>
      <c r="QJP38" s="704"/>
      <c r="QJQ38" s="704"/>
      <c r="QJR38" s="704"/>
      <c r="QJS38" s="704"/>
      <c r="QJT38" s="704"/>
      <c r="QJU38" s="704"/>
      <c r="QJV38" s="704"/>
      <c r="QJW38" s="704"/>
      <c r="QJX38" s="704"/>
      <c r="QJY38" s="704"/>
      <c r="QJZ38" s="704"/>
      <c r="QKA38" s="704"/>
      <c r="QKB38" s="704"/>
      <c r="QKC38" s="704"/>
      <c r="QKD38" s="704"/>
      <c r="QKE38" s="704"/>
      <c r="QKF38" s="704"/>
      <c r="QKG38" s="704"/>
      <c r="QKH38" s="704"/>
      <c r="QKI38" s="704"/>
      <c r="QKJ38" s="704"/>
      <c r="QKK38" s="704"/>
      <c r="QKL38" s="704"/>
      <c r="QKM38" s="704"/>
      <c r="QKN38" s="704"/>
      <c r="QKO38" s="704"/>
      <c r="QKP38" s="704"/>
      <c r="QKQ38" s="704"/>
      <c r="QKR38" s="704"/>
      <c r="QKS38" s="704"/>
      <c r="QKT38" s="704"/>
      <c r="QKU38" s="704"/>
      <c r="QKV38" s="704"/>
      <c r="QKW38" s="704"/>
      <c r="QKX38" s="704"/>
      <c r="QKY38" s="704"/>
      <c r="QKZ38" s="704"/>
      <c r="QLA38" s="704"/>
      <c r="QLB38" s="704"/>
      <c r="QLC38" s="704"/>
      <c r="QLD38" s="704"/>
      <c r="QLE38" s="704"/>
      <c r="QLF38" s="704"/>
      <c r="QLG38" s="704"/>
      <c r="QLH38" s="704"/>
      <c r="QLI38" s="704"/>
      <c r="QLJ38" s="704"/>
      <c r="QLK38" s="704"/>
      <c r="QLL38" s="704"/>
      <c r="QLM38" s="704"/>
      <c r="QLN38" s="704"/>
      <c r="QLO38" s="704"/>
      <c r="QLP38" s="704"/>
      <c r="QLQ38" s="704"/>
      <c r="QLR38" s="704"/>
      <c r="QLS38" s="704"/>
      <c r="QLT38" s="704"/>
      <c r="QLU38" s="704"/>
      <c r="QLV38" s="704"/>
      <c r="QLW38" s="704"/>
      <c r="QLX38" s="704"/>
      <c r="QLY38" s="704"/>
      <c r="QLZ38" s="704"/>
      <c r="QMA38" s="704"/>
      <c r="QMB38" s="704"/>
      <c r="QMC38" s="704"/>
      <c r="QMD38" s="704"/>
      <c r="QME38" s="704"/>
      <c r="QMF38" s="704"/>
      <c r="QMG38" s="704"/>
      <c r="QMH38" s="704"/>
      <c r="QMI38" s="704"/>
      <c r="QMJ38" s="704"/>
      <c r="QMK38" s="704"/>
      <c r="QML38" s="704"/>
      <c r="QMM38" s="704"/>
      <c r="QMN38" s="704"/>
      <c r="QMO38" s="704"/>
      <c r="QMP38" s="704"/>
      <c r="QMQ38" s="704"/>
      <c r="QMR38" s="704"/>
      <c r="QMS38" s="704"/>
      <c r="QMT38" s="704"/>
      <c r="QMU38" s="704"/>
      <c r="QMV38" s="704"/>
      <c r="QMW38" s="704"/>
      <c r="QMX38" s="704"/>
      <c r="QMY38" s="704"/>
      <c r="QMZ38" s="704"/>
      <c r="QNA38" s="704"/>
      <c r="QNB38" s="704"/>
      <c r="QNC38" s="704"/>
      <c r="QND38" s="704"/>
      <c r="QNE38" s="704"/>
      <c r="QNF38" s="704"/>
      <c r="QNG38" s="704"/>
      <c r="QNH38" s="704"/>
      <c r="QNI38" s="704"/>
      <c r="QNJ38" s="704"/>
      <c r="QNK38" s="704"/>
      <c r="QNL38" s="704"/>
      <c r="QNM38" s="704"/>
      <c r="QNN38" s="704"/>
      <c r="QNO38" s="704"/>
      <c r="QNP38" s="704"/>
      <c r="QNQ38" s="704"/>
      <c r="QNR38" s="704"/>
      <c r="QNS38" s="704"/>
      <c r="QNT38" s="704"/>
      <c r="QNU38" s="704"/>
      <c r="QNV38" s="704"/>
      <c r="QNW38" s="704"/>
      <c r="QNX38" s="704"/>
      <c r="QNY38" s="704"/>
      <c r="QNZ38" s="704"/>
      <c r="QOA38" s="704"/>
      <c r="QOB38" s="704"/>
      <c r="QOC38" s="704"/>
      <c r="QOD38" s="704"/>
      <c r="QOE38" s="704"/>
      <c r="QOF38" s="704"/>
      <c r="QOG38" s="704"/>
      <c r="QOH38" s="704"/>
      <c r="QOI38" s="704"/>
      <c r="QOJ38" s="704"/>
      <c r="QOK38" s="704"/>
      <c r="QOL38" s="704"/>
      <c r="QOM38" s="704"/>
      <c r="QON38" s="704"/>
      <c r="QOO38" s="704"/>
      <c r="QOP38" s="704"/>
      <c r="QOQ38" s="704"/>
      <c r="QOR38" s="704"/>
      <c r="QOS38" s="704"/>
      <c r="QOT38" s="704"/>
      <c r="QOU38" s="704"/>
      <c r="QOV38" s="704"/>
      <c r="QOW38" s="704"/>
      <c r="QOX38" s="704"/>
      <c r="QOY38" s="704"/>
      <c r="QOZ38" s="704"/>
      <c r="QPA38" s="704"/>
      <c r="QPB38" s="704"/>
      <c r="QPC38" s="704"/>
      <c r="QPD38" s="704"/>
      <c r="QPE38" s="704"/>
      <c r="QPF38" s="704"/>
      <c r="QPG38" s="704"/>
      <c r="QPH38" s="704"/>
      <c r="QPI38" s="704"/>
      <c r="QPJ38" s="704"/>
      <c r="QPK38" s="704"/>
      <c r="QPL38" s="704"/>
      <c r="QPM38" s="704"/>
      <c r="QPN38" s="704"/>
      <c r="QPO38" s="704"/>
      <c r="QPP38" s="704"/>
      <c r="QPQ38" s="704"/>
      <c r="QPR38" s="704"/>
      <c r="QPS38" s="704"/>
      <c r="QPT38" s="704"/>
      <c r="QPU38" s="704"/>
      <c r="QPV38" s="704"/>
      <c r="QPW38" s="704"/>
      <c r="QPX38" s="704"/>
      <c r="QPY38" s="704"/>
      <c r="QPZ38" s="704"/>
      <c r="QQA38" s="704"/>
      <c r="QQB38" s="704"/>
      <c r="QQC38" s="704"/>
      <c r="QQD38" s="704"/>
      <c r="QQE38" s="704"/>
      <c r="QQF38" s="704"/>
      <c r="QQG38" s="704"/>
      <c r="QQH38" s="704"/>
      <c r="QQI38" s="704"/>
      <c r="QQJ38" s="704"/>
      <c r="QQK38" s="704"/>
      <c r="QQL38" s="704"/>
      <c r="QQM38" s="704"/>
      <c r="QQN38" s="704"/>
      <c r="QQO38" s="704"/>
      <c r="QQP38" s="704"/>
      <c r="QQQ38" s="704"/>
      <c r="QQR38" s="704"/>
      <c r="QQS38" s="704"/>
      <c r="QQT38" s="704"/>
      <c r="QQU38" s="704"/>
      <c r="QQV38" s="704"/>
      <c r="QQW38" s="704"/>
      <c r="QQX38" s="704"/>
      <c r="QQY38" s="704"/>
      <c r="QQZ38" s="704"/>
      <c r="QRA38" s="704"/>
      <c r="QRB38" s="704"/>
      <c r="QRC38" s="704"/>
      <c r="QRD38" s="704"/>
      <c r="QRE38" s="704"/>
      <c r="QRF38" s="704"/>
      <c r="QRG38" s="704"/>
      <c r="QRH38" s="704"/>
      <c r="QRI38" s="704"/>
      <c r="QRJ38" s="704"/>
      <c r="QRK38" s="704"/>
      <c r="QRL38" s="704"/>
      <c r="QRM38" s="704"/>
      <c r="QRN38" s="704"/>
      <c r="QRO38" s="704"/>
      <c r="QRP38" s="704"/>
      <c r="QRQ38" s="704"/>
      <c r="QRR38" s="704"/>
      <c r="QRS38" s="704"/>
      <c r="QRT38" s="704"/>
      <c r="QRU38" s="704"/>
      <c r="QRV38" s="704"/>
      <c r="QRW38" s="704"/>
      <c r="QRX38" s="704"/>
      <c r="QRY38" s="704"/>
      <c r="QRZ38" s="704"/>
      <c r="QSA38" s="704"/>
      <c r="QSB38" s="704"/>
      <c r="QSC38" s="704"/>
      <c r="QSD38" s="704"/>
      <c r="QSE38" s="704"/>
      <c r="QSF38" s="704"/>
      <c r="QSG38" s="704"/>
      <c r="QSH38" s="704"/>
      <c r="QSI38" s="704"/>
      <c r="QSJ38" s="704"/>
      <c r="QSK38" s="704"/>
      <c r="QSL38" s="704"/>
      <c r="QSM38" s="704"/>
      <c r="QSN38" s="704"/>
      <c r="QSO38" s="704"/>
      <c r="QSP38" s="704"/>
      <c r="QSQ38" s="704"/>
      <c r="QSR38" s="704"/>
      <c r="QSS38" s="704"/>
      <c r="QST38" s="704"/>
      <c r="QSU38" s="704"/>
      <c r="QSV38" s="704"/>
      <c r="QSW38" s="704"/>
      <c r="QSX38" s="704"/>
      <c r="QSY38" s="704"/>
      <c r="QSZ38" s="704"/>
      <c r="QTA38" s="704"/>
      <c r="QTB38" s="704"/>
      <c r="QTC38" s="704"/>
      <c r="QTD38" s="704"/>
      <c r="QTE38" s="704"/>
      <c r="QTF38" s="704"/>
      <c r="QTG38" s="704"/>
      <c r="QTH38" s="704"/>
      <c r="QTI38" s="704"/>
      <c r="QTJ38" s="704"/>
      <c r="QTK38" s="704"/>
      <c r="QTL38" s="704"/>
      <c r="QTM38" s="704"/>
      <c r="QTN38" s="704"/>
      <c r="QTO38" s="704"/>
      <c r="QTP38" s="704"/>
      <c r="QTQ38" s="704"/>
      <c r="QTR38" s="704"/>
      <c r="QTS38" s="704"/>
      <c r="QTT38" s="704"/>
      <c r="QTU38" s="704"/>
      <c r="QTV38" s="704"/>
      <c r="QTW38" s="704"/>
      <c r="QTX38" s="704"/>
      <c r="QTY38" s="704"/>
      <c r="QTZ38" s="704"/>
      <c r="QUA38" s="704"/>
      <c r="QUB38" s="704"/>
      <c r="QUC38" s="704"/>
      <c r="QUD38" s="704"/>
      <c r="QUE38" s="704"/>
      <c r="QUF38" s="704"/>
      <c r="QUG38" s="704"/>
      <c r="QUH38" s="704"/>
      <c r="QUI38" s="704"/>
      <c r="QUJ38" s="704"/>
      <c r="QUK38" s="704"/>
      <c r="QUL38" s="704"/>
      <c r="QUM38" s="704"/>
      <c r="QUN38" s="704"/>
      <c r="QUO38" s="704"/>
      <c r="QUP38" s="704"/>
      <c r="QUQ38" s="704"/>
      <c r="QUR38" s="704"/>
      <c r="QUS38" s="704"/>
      <c r="QUT38" s="704"/>
      <c r="QUU38" s="704"/>
      <c r="QUV38" s="704"/>
      <c r="QUW38" s="704"/>
      <c r="QUX38" s="704"/>
      <c r="QUY38" s="704"/>
      <c r="QUZ38" s="704"/>
      <c r="QVA38" s="704"/>
      <c r="QVB38" s="704"/>
      <c r="QVC38" s="704"/>
      <c r="QVD38" s="704"/>
      <c r="QVE38" s="704"/>
      <c r="QVF38" s="704"/>
      <c r="QVG38" s="704"/>
      <c r="QVH38" s="704"/>
      <c r="QVI38" s="704"/>
      <c r="QVJ38" s="704"/>
      <c r="QVK38" s="704"/>
      <c r="QVL38" s="704"/>
      <c r="QVM38" s="704"/>
      <c r="QVN38" s="704"/>
      <c r="QVO38" s="704"/>
      <c r="QVP38" s="704"/>
      <c r="QVQ38" s="704"/>
      <c r="QVR38" s="704"/>
      <c r="QVS38" s="704"/>
      <c r="QVT38" s="704"/>
      <c r="QVU38" s="704"/>
      <c r="QVV38" s="704"/>
      <c r="QVW38" s="704"/>
      <c r="QVX38" s="704"/>
      <c r="QVY38" s="704"/>
      <c r="QVZ38" s="704"/>
      <c r="QWA38" s="704"/>
      <c r="QWB38" s="704"/>
      <c r="QWC38" s="704"/>
      <c r="QWD38" s="704"/>
      <c r="QWE38" s="704"/>
      <c r="QWF38" s="704"/>
      <c r="QWG38" s="704"/>
      <c r="QWH38" s="704"/>
      <c r="QWI38" s="704"/>
      <c r="QWJ38" s="704"/>
      <c r="QWK38" s="704"/>
      <c r="QWL38" s="704"/>
      <c r="QWM38" s="704"/>
      <c r="QWN38" s="704"/>
      <c r="QWO38" s="704"/>
      <c r="QWP38" s="704"/>
      <c r="QWQ38" s="704"/>
      <c r="QWR38" s="704"/>
      <c r="QWS38" s="704"/>
      <c r="QWT38" s="704"/>
      <c r="QWU38" s="704"/>
      <c r="QWV38" s="704"/>
      <c r="QWW38" s="704"/>
      <c r="QWX38" s="704"/>
      <c r="QWY38" s="704"/>
      <c r="QWZ38" s="704"/>
      <c r="QXA38" s="704"/>
      <c r="QXB38" s="704"/>
      <c r="QXC38" s="704"/>
      <c r="QXD38" s="704"/>
      <c r="QXE38" s="704"/>
      <c r="QXF38" s="704"/>
      <c r="QXG38" s="704"/>
      <c r="QXH38" s="704"/>
      <c r="QXI38" s="704"/>
      <c r="QXJ38" s="704"/>
      <c r="QXK38" s="704"/>
      <c r="QXL38" s="704"/>
      <c r="QXM38" s="704"/>
      <c r="QXN38" s="704"/>
      <c r="QXO38" s="704"/>
      <c r="QXP38" s="704"/>
      <c r="QXQ38" s="704"/>
      <c r="QXR38" s="704"/>
      <c r="QXS38" s="704"/>
      <c r="QXT38" s="704"/>
      <c r="QXU38" s="704"/>
      <c r="QXV38" s="704"/>
      <c r="QXW38" s="704"/>
      <c r="QXX38" s="704"/>
      <c r="QXY38" s="704"/>
      <c r="QXZ38" s="704"/>
      <c r="QYA38" s="704"/>
      <c r="QYB38" s="704"/>
      <c r="QYC38" s="704"/>
      <c r="QYD38" s="704"/>
      <c r="QYE38" s="704"/>
      <c r="QYF38" s="704"/>
      <c r="QYG38" s="704"/>
      <c r="QYH38" s="704"/>
      <c r="QYI38" s="704"/>
      <c r="QYJ38" s="704"/>
      <c r="QYK38" s="704"/>
      <c r="QYL38" s="704"/>
      <c r="QYM38" s="704"/>
      <c r="QYN38" s="704"/>
      <c r="QYO38" s="704"/>
      <c r="QYP38" s="704"/>
      <c r="QYQ38" s="704"/>
      <c r="QYR38" s="704"/>
      <c r="QYS38" s="704"/>
      <c r="QYT38" s="704"/>
      <c r="QYU38" s="704"/>
      <c r="QYV38" s="704"/>
      <c r="QYW38" s="704"/>
      <c r="QYX38" s="704"/>
      <c r="QYY38" s="704"/>
      <c r="QYZ38" s="704"/>
      <c r="QZA38" s="704"/>
      <c r="QZB38" s="704"/>
      <c r="QZC38" s="704"/>
      <c r="QZD38" s="704"/>
      <c r="QZE38" s="704"/>
      <c r="QZF38" s="704"/>
      <c r="QZG38" s="704"/>
      <c r="QZH38" s="704"/>
      <c r="QZI38" s="704"/>
      <c r="QZJ38" s="704"/>
      <c r="QZK38" s="704"/>
      <c r="QZL38" s="704"/>
      <c r="QZM38" s="704"/>
      <c r="QZN38" s="704"/>
      <c r="QZO38" s="704"/>
      <c r="QZP38" s="704"/>
      <c r="QZQ38" s="704"/>
      <c r="QZR38" s="704"/>
      <c r="QZS38" s="704"/>
      <c r="QZT38" s="704"/>
      <c r="QZU38" s="704"/>
      <c r="QZV38" s="704"/>
      <c r="QZW38" s="704"/>
      <c r="QZX38" s="704"/>
      <c r="QZY38" s="704"/>
      <c r="QZZ38" s="704"/>
      <c r="RAA38" s="704"/>
      <c r="RAB38" s="704"/>
      <c r="RAC38" s="704"/>
      <c r="RAD38" s="704"/>
      <c r="RAE38" s="704"/>
      <c r="RAF38" s="704"/>
      <c r="RAG38" s="704"/>
      <c r="RAH38" s="704"/>
      <c r="RAI38" s="704"/>
      <c r="RAJ38" s="704"/>
      <c r="RAK38" s="704"/>
      <c r="RAL38" s="704"/>
      <c r="RAM38" s="704"/>
      <c r="RAN38" s="704"/>
      <c r="RAO38" s="704"/>
      <c r="RAP38" s="704"/>
      <c r="RAQ38" s="704"/>
      <c r="RAR38" s="704"/>
      <c r="RAS38" s="704"/>
      <c r="RAT38" s="704"/>
      <c r="RAU38" s="704"/>
      <c r="RAV38" s="704"/>
      <c r="RAW38" s="704"/>
      <c r="RAX38" s="704"/>
      <c r="RAY38" s="704"/>
      <c r="RAZ38" s="704"/>
      <c r="RBA38" s="704"/>
      <c r="RBB38" s="704"/>
      <c r="RBC38" s="704"/>
      <c r="RBD38" s="704"/>
      <c r="RBE38" s="704"/>
      <c r="RBF38" s="704"/>
      <c r="RBG38" s="704"/>
      <c r="RBH38" s="704"/>
      <c r="RBI38" s="704"/>
      <c r="RBJ38" s="704"/>
      <c r="RBK38" s="704"/>
      <c r="RBL38" s="704"/>
      <c r="RBM38" s="704"/>
      <c r="RBN38" s="704"/>
      <c r="RBO38" s="704"/>
      <c r="RBP38" s="704"/>
      <c r="RBQ38" s="704"/>
      <c r="RBR38" s="704"/>
      <c r="RBS38" s="704"/>
      <c r="RBT38" s="704"/>
      <c r="RBU38" s="704"/>
      <c r="RBV38" s="704"/>
      <c r="RBW38" s="704"/>
      <c r="RBX38" s="704"/>
      <c r="RBY38" s="704"/>
      <c r="RBZ38" s="704"/>
      <c r="RCA38" s="704"/>
      <c r="RCB38" s="704"/>
      <c r="RCC38" s="704"/>
      <c r="RCD38" s="704"/>
      <c r="RCE38" s="704"/>
      <c r="RCF38" s="704"/>
      <c r="RCG38" s="704"/>
      <c r="RCH38" s="704"/>
      <c r="RCI38" s="704"/>
      <c r="RCJ38" s="704"/>
      <c r="RCK38" s="704"/>
      <c r="RCL38" s="704"/>
      <c r="RCM38" s="704"/>
      <c r="RCN38" s="704"/>
      <c r="RCO38" s="704"/>
      <c r="RCP38" s="704"/>
      <c r="RCQ38" s="704"/>
      <c r="RCR38" s="704"/>
      <c r="RCS38" s="704"/>
      <c r="RCT38" s="704"/>
      <c r="RCU38" s="704"/>
      <c r="RCV38" s="704"/>
      <c r="RCW38" s="704"/>
      <c r="RCX38" s="704"/>
      <c r="RCY38" s="704"/>
      <c r="RCZ38" s="704"/>
      <c r="RDA38" s="704"/>
      <c r="RDB38" s="704"/>
      <c r="RDC38" s="704"/>
      <c r="RDD38" s="704"/>
      <c r="RDE38" s="704"/>
      <c r="RDF38" s="704"/>
      <c r="RDG38" s="704"/>
      <c r="RDH38" s="704"/>
      <c r="RDI38" s="704"/>
      <c r="RDJ38" s="704"/>
      <c r="RDK38" s="704"/>
      <c r="RDL38" s="704"/>
      <c r="RDM38" s="704"/>
      <c r="RDN38" s="704"/>
      <c r="RDO38" s="704"/>
      <c r="RDP38" s="704"/>
      <c r="RDQ38" s="704"/>
      <c r="RDR38" s="704"/>
      <c r="RDS38" s="704"/>
      <c r="RDT38" s="704"/>
      <c r="RDU38" s="704"/>
      <c r="RDV38" s="704"/>
      <c r="RDW38" s="704"/>
      <c r="RDX38" s="704"/>
      <c r="RDY38" s="704"/>
      <c r="RDZ38" s="704"/>
      <c r="REA38" s="704"/>
      <c r="REB38" s="704"/>
      <c r="REC38" s="704"/>
      <c r="RED38" s="704"/>
      <c r="REE38" s="704"/>
      <c r="REF38" s="704"/>
      <c r="REG38" s="704"/>
      <c r="REH38" s="704"/>
      <c r="REI38" s="704"/>
      <c r="REJ38" s="704"/>
      <c r="REK38" s="704"/>
      <c r="REL38" s="704"/>
      <c r="REM38" s="704"/>
      <c r="REN38" s="704"/>
      <c r="REO38" s="704"/>
      <c r="REP38" s="704"/>
      <c r="REQ38" s="704"/>
      <c r="RER38" s="704"/>
      <c r="RES38" s="704"/>
      <c r="RET38" s="704"/>
      <c r="REU38" s="704"/>
      <c r="REV38" s="704"/>
      <c r="REW38" s="704"/>
      <c r="REX38" s="704"/>
      <c r="REY38" s="704"/>
      <c r="REZ38" s="704"/>
      <c r="RFA38" s="704"/>
      <c r="RFB38" s="704"/>
      <c r="RFC38" s="704"/>
      <c r="RFD38" s="704"/>
      <c r="RFE38" s="704"/>
      <c r="RFF38" s="704"/>
      <c r="RFG38" s="704"/>
      <c r="RFH38" s="704"/>
      <c r="RFI38" s="704"/>
      <c r="RFJ38" s="704"/>
      <c r="RFK38" s="704"/>
      <c r="RFL38" s="704"/>
      <c r="RFM38" s="704"/>
      <c r="RFN38" s="704"/>
      <c r="RFO38" s="704"/>
      <c r="RFP38" s="704"/>
      <c r="RFQ38" s="704"/>
      <c r="RFR38" s="704"/>
      <c r="RFS38" s="704"/>
      <c r="RFT38" s="704"/>
      <c r="RFU38" s="704"/>
      <c r="RFV38" s="704"/>
      <c r="RFW38" s="704"/>
      <c r="RFX38" s="704"/>
      <c r="RFY38" s="704"/>
      <c r="RFZ38" s="704"/>
      <c r="RGA38" s="704"/>
      <c r="RGB38" s="704"/>
      <c r="RGC38" s="704"/>
      <c r="RGD38" s="704"/>
      <c r="RGE38" s="704"/>
      <c r="RGF38" s="704"/>
      <c r="RGG38" s="704"/>
      <c r="RGH38" s="704"/>
      <c r="RGI38" s="704"/>
      <c r="RGJ38" s="704"/>
      <c r="RGK38" s="704"/>
      <c r="RGL38" s="704"/>
      <c r="RGM38" s="704"/>
      <c r="RGN38" s="704"/>
      <c r="RGO38" s="704"/>
      <c r="RGP38" s="704"/>
      <c r="RGQ38" s="704"/>
      <c r="RGR38" s="704"/>
      <c r="RGS38" s="704"/>
      <c r="RGT38" s="704"/>
      <c r="RGU38" s="704"/>
      <c r="RGV38" s="704"/>
      <c r="RGW38" s="704"/>
      <c r="RGX38" s="704"/>
      <c r="RGY38" s="704"/>
      <c r="RGZ38" s="704"/>
      <c r="RHA38" s="704"/>
      <c r="RHB38" s="704"/>
      <c r="RHC38" s="704"/>
      <c r="RHD38" s="704"/>
      <c r="RHE38" s="704"/>
      <c r="RHF38" s="704"/>
      <c r="RHG38" s="704"/>
      <c r="RHH38" s="704"/>
      <c r="RHI38" s="704"/>
      <c r="RHJ38" s="704"/>
      <c r="RHK38" s="704"/>
      <c r="RHL38" s="704"/>
      <c r="RHM38" s="704"/>
      <c r="RHN38" s="704"/>
      <c r="RHO38" s="704"/>
      <c r="RHP38" s="704"/>
      <c r="RHQ38" s="704"/>
      <c r="RHR38" s="704"/>
      <c r="RHS38" s="704"/>
      <c r="RHT38" s="704"/>
      <c r="RHU38" s="704"/>
      <c r="RHV38" s="704"/>
      <c r="RHW38" s="704"/>
      <c r="RHX38" s="704"/>
      <c r="RHY38" s="704"/>
      <c r="RHZ38" s="704"/>
      <c r="RIA38" s="704"/>
      <c r="RIB38" s="704"/>
      <c r="RIC38" s="704"/>
      <c r="RID38" s="704"/>
      <c r="RIE38" s="704"/>
      <c r="RIF38" s="704"/>
      <c r="RIG38" s="704"/>
      <c r="RIH38" s="704"/>
      <c r="RII38" s="704"/>
      <c r="RIJ38" s="704"/>
      <c r="RIK38" s="704"/>
      <c r="RIL38" s="704"/>
      <c r="RIM38" s="704"/>
      <c r="RIN38" s="704"/>
      <c r="RIO38" s="704"/>
      <c r="RIP38" s="704"/>
      <c r="RIQ38" s="704"/>
      <c r="RIR38" s="704"/>
      <c r="RIS38" s="704"/>
      <c r="RIT38" s="704"/>
      <c r="RIU38" s="704"/>
      <c r="RIV38" s="704"/>
      <c r="RIW38" s="704"/>
      <c r="RIX38" s="704"/>
      <c r="RIY38" s="704"/>
      <c r="RIZ38" s="704"/>
      <c r="RJA38" s="704"/>
      <c r="RJB38" s="704"/>
      <c r="RJC38" s="704"/>
      <c r="RJD38" s="704"/>
      <c r="RJE38" s="704"/>
      <c r="RJF38" s="704"/>
      <c r="RJG38" s="704"/>
      <c r="RJH38" s="704"/>
      <c r="RJI38" s="704"/>
      <c r="RJJ38" s="704"/>
      <c r="RJK38" s="704"/>
      <c r="RJL38" s="704"/>
      <c r="RJM38" s="704"/>
      <c r="RJN38" s="704"/>
      <c r="RJO38" s="704"/>
      <c r="RJP38" s="704"/>
      <c r="RJQ38" s="704"/>
      <c r="RJR38" s="704"/>
      <c r="RJS38" s="704"/>
      <c r="RJT38" s="704"/>
      <c r="RJU38" s="704"/>
      <c r="RJV38" s="704"/>
      <c r="RJW38" s="704"/>
      <c r="RJX38" s="704"/>
      <c r="RJY38" s="704"/>
      <c r="RJZ38" s="704"/>
      <c r="RKA38" s="704"/>
      <c r="RKB38" s="704"/>
      <c r="RKC38" s="704"/>
      <c r="RKD38" s="704"/>
      <c r="RKE38" s="704"/>
      <c r="RKF38" s="704"/>
      <c r="RKG38" s="704"/>
      <c r="RKH38" s="704"/>
      <c r="RKI38" s="704"/>
      <c r="RKJ38" s="704"/>
      <c r="RKK38" s="704"/>
      <c r="RKL38" s="704"/>
      <c r="RKM38" s="704"/>
      <c r="RKN38" s="704"/>
      <c r="RKO38" s="704"/>
      <c r="RKP38" s="704"/>
      <c r="RKQ38" s="704"/>
      <c r="RKR38" s="704"/>
      <c r="RKS38" s="704"/>
      <c r="RKT38" s="704"/>
      <c r="RKU38" s="704"/>
      <c r="RKV38" s="704"/>
      <c r="RKW38" s="704"/>
      <c r="RKX38" s="704"/>
      <c r="RKY38" s="704"/>
      <c r="RKZ38" s="704"/>
      <c r="RLA38" s="704"/>
      <c r="RLB38" s="704"/>
      <c r="RLC38" s="704"/>
      <c r="RLD38" s="704"/>
      <c r="RLE38" s="704"/>
      <c r="RLF38" s="704"/>
      <c r="RLG38" s="704"/>
      <c r="RLH38" s="704"/>
      <c r="RLI38" s="704"/>
      <c r="RLJ38" s="704"/>
      <c r="RLK38" s="704"/>
      <c r="RLL38" s="704"/>
      <c r="RLM38" s="704"/>
      <c r="RLN38" s="704"/>
      <c r="RLO38" s="704"/>
      <c r="RLP38" s="704"/>
      <c r="RLQ38" s="704"/>
      <c r="RLR38" s="704"/>
      <c r="RLS38" s="704"/>
      <c r="RLT38" s="704"/>
      <c r="RLU38" s="704"/>
      <c r="RLV38" s="704"/>
      <c r="RLW38" s="704"/>
      <c r="RLX38" s="704"/>
      <c r="RLY38" s="704"/>
      <c r="RLZ38" s="704"/>
      <c r="RMA38" s="704"/>
      <c r="RMB38" s="704"/>
      <c r="RMC38" s="704"/>
      <c r="RMD38" s="704"/>
      <c r="RME38" s="704"/>
      <c r="RMF38" s="704"/>
      <c r="RMG38" s="704"/>
      <c r="RMH38" s="704"/>
      <c r="RMI38" s="704"/>
      <c r="RMJ38" s="704"/>
      <c r="RMK38" s="704"/>
      <c r="RML38" s="704"/>
      <c r="RMM38" s="704"/>
      <c r="RMN38" s="704"/>
      <c r="RMO38" s="704"/>
      <c r="RMP38" s="704"/>
      <c r="RMQ38" s="704"/>
      <c r="RMR38" s="704"/>
      <c r="RMS38" s="704"/>
      <c r="RMT38" s="704"/>
      <c r="RMU38" s="704"/>
      <c r="RMV38" s="704"/>
      <c r="RMW38" s="704"/>
      <c r="RMX38" s="704"/>
      <c r="RMY38" s="704"/>
      <c r="RMZ38" s="704"/>
      <c r="RNA38" s="704"/>
      <c r="RNB38" s="704"/>
      <c r="RNC38" s="704"/>
      <c r="RND38" s="704"/>
      <c r="RNE38" s="704"/>
      <c r="RNF38" s="704"/>
      <c r="RNG38" s="704"/>
      <c r="RNH38" s="704"/>
      <c r="RNI38" s="704"/>
      <c r="RNJ38" s="704"/>
      <c r="RNK38" s="704"/>
      <c r="RNL38" s="704"/>
      <c r="RNM38" s="704"/>
      <c r="RNN38" s="704"/>
      <c r="RNO38" s="704"/>
      <c r="RNP38" s="704"/>
      <c r="RNQ38" s="704"/>
      <c r="RNR38" s="704"/>
      <c r="RNS38" s="704"/>
      <c r="RNT38" s="704"/>
      <c r="RNU38" s="704"/>
      <c r="RNV38" s="704"/>
      <c r="RNW38" s="704"/>
      <c r="RNX38" s="704"/>
      <c r="RNY38" s="704"/>
      <c r="RNZ38" s="704"/>
      <c r="ROA38" s="704"/>
      <c r="ROB38" s="704"/>
      <c r="ROC38" s="704"/>
      <c r="ROD38" s="704"/>
      <c r="ROE38" s="704"/>
      <c r="ROF38" s="704"/>
      <c r="ROG38" s="704"/>
      <c r="ROH38" s="704"/>
      <c r="ROI38" s="704"/>
      <c r="ROJ38" s="704"/>
      <c r="ROK38" s="704"/>
      <c r="ROL38" s="704"/>
      <c r="ROM38" s="704"/>
      <c r="RON38" s="704"/>
      <c r="ROO38" s="704"/>
      <c r="ROP38" s="704"/>
      <c r="ROQ38" s="704"/>
      <c r="ROR38" s="704"/>
      <c r="ROS38" s="704"/>
      <c r="ROT38" s="704"/>
      <c r="ROU38" s="704"/>
      <c r="ROV38" s="704"/>
      <c r="ROW38" s="704"/>
      <c r="ROX38" s="704"/>
      <c r="ROY38" s="704"/>
      <c r="ROZ38" s="704"/>
      <c r="RPA38" s="704"/>
      <c r="RPB38" s="704"/>
      <c r="RPC38" s="704"/>
      <c r="RPD38" s="704"/>
      <c r="RPE38" s="704"/>
      <c r="RPF38" s="704"/>
      <c r="RPG38" s="704"/>
      <c r="RPH38" s="704"/>
      <c r="RPI38" s="704"/>
      <c r="RPJ38" s="704"/>
      <c r="RPK38" s="704"/>
      <c r="RPL38" s="704"/>
      <c r="RPM38" s="704"/>
      <c r="RPN38" s="704"/>
      <c r="RPO38" s="704"/>
      <c r="RPP38" s="704"/>
      <c r="RPQ38" s="704"/>
      <c r="RPR38" s="704"/>
      <c r="RPS38" s="704"/>
      <c r="RPT38" s="704"/>
      <c r="RPU38" s="704"/>
      <c r="RPV38" s="704"/>
      <c r="RPW38" s="704"/>
      <c r="RPX38" s="704"/>
      <c r="RPY38" s="704"/>
      <c r="RPZ38" s="704"/>
      <c r="RQA38" s="704"/>
      <c r="RQB38" s="704"/>
      <c r="RQC38" s="704"/>
      <c r="RQD38" s="704"/>
      <c r="RQE38" s="704"/>
      <c r="RQF38" s="704"/>
      <c r="RQG38" s="704"/>
      <c r="RQH38" s="704"/>
      <c r="RQI38" s="704"/>
      <c r="RQJ38" s="704"/>
      <c r="RQK38" s="704"/>
      <c r="RQL38" s="704"/>
      <c r="RQM38" s="704"/>
      <c r="RQN38" s="704"/>
      <c r="RQO38" s="704"/>
      <c r="RQP38" s="704"/>
      <c r="RQQ38" s="704"/>
      <c r="RQR38" s="704"/>
      <c r="RQS38" s="704"/>
      <c r="RQT38" s="704"/>
      <c r="RQU38" s="704"/>
      <c r="RQV38" s="704"/>
      <c r="RQW38" s="704"/>
      <c r="RQX38" s="704"/>
      <c r="RQY38" s="704"/>
      <c r="RQZ38" s="704"/>
      <c r="RRA38" s="704"/>
      <c r="RRB38" s="704"/>
      <c r="RRC38" s="704"/>
      <c r="RRD38" s="704"/>
      <c r="RRE38" s="704"/>
      <c r="RRF38" s="704"/>
      <c r="RRG38" s="704"/>
      <c r="RRH38" s="704"/>
      <c r="RRI38" s="704"/>
      <c r="RRJ38" s="704"/>
      <c r="RRK38" s="704"/>
      <c r="RRL38" s="704"/>
      <c r="RRM38" s="704"/>
      <c r="RRN38" s="704"/>
      <c r="RRO38" s="704"/>
      <c r="RRP38" s="704"/>
      <c r="RRQ38" s="704"/>
      <c r="RRR38" s="704"/>
      <c r="RRS38" s="704"/>
      <c r="RRT38" s="704"/>
      <c r="RRU38" s="704"/>
      <c r="RRV38" s="704"/>
      <c r="RRW38" s="704"/>
      <c r="RRX38" s="704"/>
      <c r="RRY38" s="704"/>
      <c r="RRZ38" s="704"/>
      <c r="RSA38" s="704"/>
      <c r="RSB38" s="704"/>
      <c r="RSC38" s="704"/>
      <c r="RSD38" s="704"/>
      <c r="RSE38" s="704"/>
      <c r="RSF38" s="704"/>
      <c r="RSG38" s="704"/>
      <c r="RSH38" s="704"/>
      <c r="RSI38" s="704"/>
      <c r="RSJ38" s="704"/>
      <c r="RSK38" s="704"/>
      <c r="RSL38" s="704"/>
      <c r="RSM38" s="704"/>
      <c r="RSN38" s="704"/>
      <c r="RSO38" s="704"/>
      <c r="RSP38" s="704"/>
      <c r="RSQ38" s="704"/>
      <c r="RSR38" s="704"/>
      <c r="RSS38" s="704"/>
      <c r="RST38" s="704"/>
      <c r="RSU38" s="704"/>
      <c r="RSV38" s="704"/>
      <c r="RSW38" s="704"/>
      <c r="RSX38" s="704"/>
      <c r="RSY38" s="704"/>
      <c r="RSZ38" s="704"/>
      <c r="RTA38" s="704"/>
      <c r="RTB38" s="704"/>
      <c r="RTC38" s="704"/>
      <c r="RTD38" s="704"/>
      <c r="RTE38" s="704"/>
      <c r="RTF38" s="704"/>
      <c r="RTG38" s="704"/>
      <c r="RTH38" s="704"/>
      <c r="RTI38" s="704"/>
      <c r="RTJ38" s="704"/>
      <c r="RTK38" s="704"/>
      <c r="RTL38" s="704"/>
      <c r="RTM38" s="704"/>
      <c r="RTN38" s="704"/>
      <c r="RTO38" s="704"/>
      <c r="RTP38" s="704"/>
      <c r="RTQ38" s="704"/>
      <c r="RTR38" s="704"/>
      <c r="RTS38" s="704"/>
      <c r="RTT38" s="704"/>
      <c r="RTU38" s="704"/>
      <c r="RTV38" s="704"/>
      <c r="RTW38" s="704"/>
      <c r="RTX38" s="704"/>
      <c r="RTY38" s="704"/>
      <c r="RTZ38" s="704"/>
      <c r="RUA38" s="704"/>
      <c r="RUB38" s="704"/>
      <c r="RUC38" s="704"/>
      <c r="RUD38" s="704"/>
      <c r="RUE38" s="704"/>
      <c r="RUF38" s="704"/>
      <c r="RUG38" s="704"/>
      <c r="RUH38" s="704"/>
      <c r="RUI38" s="704"/>
      <c r="RUJ38" s="704"/>
      <c r="RUK38" s="704"/>
      <c r="RUL38" s="704"/>
      <c r="RUM38" s="704"/>
      <c r="RUN38" s="704"/>
      <c r="RUO38" s="704"/>
      <c r="RUP38" s="704"/>
      <c r="RUQ38" s="704"/>
      <c r="RUR38" s="704"/>
      <c r="RUS38" s="704"/>
      <c r="RUT38" s="704"/>
      <c r="RUU38" s="704"/>
      <c r="RUV38" s="704"/>
      <c r="RUW38" s="704"/>
      <c r="RUX38" s="704"/>
      <c r="RUY38" s="704"/>
      <c r="RUZ38" s="704"/>
      <c r="RVA38" s="704"/>
      <c r="RVB38" s="704"/>
      <c r="RVC38" s="704"/>
      <c r="RVD38" s="704"/>
      <c r="RVE38" s="704"/>
      <c r="RVF38" s="704"/>
      <c r="RVG38" s="704"/>
      <c r="RVH38" s="704"/>
      <c r="RVI38" s="704"/>
      <c r="RVJ38" s="704"/>
      <c r="RVK38" s="704"/>
      <c r="RVL38" s="704"/>
      <c r="RVM38" s="704"/>
      <c r="RVN38" s="704"/>
      <c r="RVO38" s="704"/>
      <c r="RVP38" s="704"/>
      <c r="RVQ38" s="704"/>
      <c r="RVR38" s="704"/>
      <c r="RVS38" s="704"/>
      <c r="RVT38" s="704"/>
      <c r="RVU38" s="704"/>
      <c r="RVV38" s="704"/>
      <c r="RVW38" s="704"/>
      <c r="RVX38" s="704"/>
      <c r="RVY38" s="704"/>
      <c r="RVZ38" s="704"/>
      <c r="RWA38" s="704"/>
      <c r="RWB38" s="704"/>
      <c r="RWC38" s="704"/>
      <c r="RWD38" s="704"/>
      <c r="RWE38" s="704"/>
      <c r="RWF38" s="704"/>
      <c r="RWG38" s="704"/>
      <c r="RWH38" s="704"/>
      <c r="RWI38" s="704"/>
      <c r="RWJ38" s="704"/>
      <c r="RWK38" s="704"/>
      <c r="RWL38" s="704"/>
      <c r="RWM38" s="704"/>
      <c r="RWN38" s="704"/>
      <c r="RWO38" s="704"/>
      <c r="RWP38" s="704"/>
      <c r="RWQ38" s="704"/>
      <c r="RWR38" s="704"/>
      <c r="RWS38" s="704"/>
      <c r="RWT38" s="704"/>
      <c r="RWU38" s="704"/>
      <c r="RWV38" s="704"/>
      <c r="RWW38" s="704"/>
      <c r="RWX38" s="704"/>
      <c r="RWY38" s="704"/>
      <c r="RWZ38" s="704"/>
      <c r="RXA38" s="704"/>
      <c r="RXB38" s="704"/>
      <c r="RXC38" s="704"/>
      <c r="RXD38" s="704"/>
      <c r="RXE38" s="704"/>
      <c r="RXF38" s="704"/>
      <c r="RXG38" s="704"/>
      <c r="RXH38" s="704"/>
      <c r="RXI38" s="704"/>
      <c r="RXJ38" s="704"/>
      <c r="RXK38" s="704"/>
      <c r="RXL38" s="704"/>
      <c r="RXM38" s="704"/>
      <c r="RXN38" s="704"/>
      <c r="RXO38" s="704"/>
      <c r="RXP38" s="704"/>
      <c r="RXQ38" s="704"/>
      <c r="RXR38" s="704"/>
      <c r="RXS38" s="704"/>
      <c r="RXT38" s="704"/>
      <c r="RXU38" s="704"/>
      <c r="RXV38" s="704"/>
      <c r="RXW38" s="704"/>
      <c r="RXX38" s="704"/>
      <c r="RXY38" s="704"/>
      <c r="RXZ38" s="704"/>
      <c r="RYA38" s="704"/>
      <c r="RYB38" s="704"/>
      <c r="RYC38" s="704"/>
      <c r="RYD38" s="704"/>
      <c r="RYE38" s="704"/>
      <c r="RYF38" s="704"/>
      <c r="RYG38" s="704"/>
      <c r="RYH38" s="704"/>
      <c r="RYI38" s="704"/>
      <c r="RYJ38" s="704"/>
      <c r="RYK38" s="704"/>
      <c r="RYL38" s="704"/>
      <c r="RYM38" s="704"/>
      <c r="RYN38" s="704"/>
      <c r="RYO38" s="704"/>
      <c r="RYP38" s="704"/>
      <c r="RYQ38" s="704"/>
      <c r="RYR38" s="704"/>
      <c r="RYS38" s="704"/>
      <c r="RYT38" s="704"/>
      <c r="RYU38" s="704"/>
      <c r="RYV38" s="704"/>
      <c r="RYW38" s="704"/>
      <c r="RYX38" s="704"/>
      <c r="RYY38" s="704"/>
      <c r="RYZ38" s="704"/>
      <c r="RZA38" s="704"/>
      <c r="RZB38" s="704"/>
      <c r="RZC38" s="704"/>
      <c r="RZD38" s="704"/>
      <c r="RZE38" s="704"/>
      <c r="RZF38" s="704"/>
      <c r="RZG38" s="704"/>
      <c r="RZH38" s="704"/>
      <c r="RZI38" s="704"/>
      <c r="RZJ38" s="704"/>
      <c r="RZK38" s="704"/>
      <c r="RZL38" s="704"/>
      <c r="RZM38" s="704"/>
      <c r="RZN38" s="704"/>
      <c r="RZO38" s="704"/>
      <c r="RZP38" s="704"/>
      <c r="RZQ38" s="704"/>
      <c r="RZR38" s="704"/>
      <c r="RZS38" s="704"/>
      <c r="RZT38" s="704"/>
      <c r="RZU38" s="704"/>
      <c r="RZV38" s="704"/>
      <c r="RZW38" s="704"/>
      <c r="RZX38" s="704"/>
      <c r="RZY38" s="704"/>
      <c r="RZZ38" s="704"/>
      <c r="SAA38" s="704"/>
      <c r="SAB38" s="704"/>
      <c r="SAC38" s="704"/>
      <c r="SAD38" s="704"/>
      <c r="SAE38" s="704"/>
      <c r="SAF38" s="704"/>
      <c r="SAG38" s="704"/>
      <c r="SAH38" s="704"/>
      <c r="SAI38" s="704"/>
      <c r="SAJ38" s="704"/>
      <c r="SAK38" s="704"/>
      <c r="SAL38" s="704"/>
      <c r="SAM38" s="704"/>
      <c r="SAN38" s="704"/>
      <c r="SAO38" s="704"/>
      <c r="SAP38" s="704"/>
      <c r="SAQ38" s="704"/>
      <c r="SAR38" s="704"/>
      <c r="SAS38" s="704"/>
      <c r="SAT38" s="704"/>
      <c r="SAU38" s="704"/>
      <c r="SAV38" s="704"/>
      <c r="SAW38" s="704"/>
      <c r="SAX38" s="704"/>
      <c r="SAY38" s="704"/>
      <c r="SAZ38" s="704"/>
      <c r="SBA38" s="704"/>
      <c r="SBB38" s="704"/>
      <c r="SBC38" s="704"/>
      <c r="SBD38" s="704"/>
      <c r="SBE38" s="704"/>
      <c r="SBF38" s="704"/>
      <c r="SBG38" s="704"/>
      <c r="SBH38" s="704"/>
      <c r="SBI38" s="704"/>
      <c r="SBJ38" s="704"/>
      <c r="SBK38" s="704"/>
      <c r="SBL38" s="704"/>
      <c r="SBM38" s="704"/>
      <c r="SBN38" s="704"/>
      <c r="SBO38" s="704"/>
      <c r="SBP38" s="704"/>
      <c r="SBQ38" s="704"/>
      <c r="SBR38" s="704"/>
      <c r="SBS38" s="704"/>
      <c r="SBT38" s="704"/>
      <c r="SBU38" s="704"/>
      <c r="SBV38" s="704"/>
      <c r="SBW38" s="704"/>
      <c r="SBX38" s="704"/>
      <c r="SBY38" s="704"/>
      <c r="SBZ38" s="704"/>
      <c r="SCA38" s="704"/>
      <c r="SCB38" s="704"/>
      <c r="SCC38" s="704"/>
      <c r="SCD38" s="704"/>
      <c r="SCE38" s="704"/>
      <c r="SCF38" s="704"/>
      <c r="SCG38" s="704"/>
      <c r="SCH38" s="704"/>
      <c r="SCI38" s="704"/>
      <c r="SCJ38" s="704"/>
      <c r="SCK38" s="704"/>
      <c r="SCL38" s="704"/>
      <c r="SCM38" s="704"/>
      <c r="SCN38" s="704"/>
      <c r="SCO38" s="704"/>
      <c r="SCP38" s="704"/>
      <c r="SCQ38" s="704"/>
      <c r="SCR38" s="704"/>
      <c r="SCS38" s="704"/>
      <c r="SCT38" s="704"/>
      <c r="SCU38" s="704"/>
      <c r="SCV38" s="704"/>
      <c r="SCW38" s="704"/>
      <c r="SCX38" s="704"/>
      <c r="SCY38" s="704"/>
      <c r="SCZ38" s="704"/>
      <c r="SDA38" s="704"/>
      <c r="SDB38" s="704"/>
      <c r="SDC38" s="704"/>
      <c r="SDD38" s="704"/>
      <c r="SDE38" s="704"/>
      <c r="SDF38" s="704"/>
      <c r="SDG38" s="704"/>
      <c r="SDH38" s="704"/>
      <c r="SDI38" s="704"/>
      <c r="SDJ38" s="704"/>
      <c r="SDK38" s="704"/>
      <c r="SDL38" s="704"/>
      <c r="SDM38" s="704"/>
      <c r="SDN38" s="704"/>
      <c r="SDO38" s="704"/>
      <c r="SDP38" s="704"/>
      <c r="SDQ38" s="704"/>
      <c r="SDR38" s="704"/>
      <c r="SDS38" s="704"/>
      <c r="SDT38" s="704"/>
      <c r="SDU38" s="704"/>
      <c r="SDV38" s="704"/>
      <c r="SDW38" s="704"/>
      <c r="SDX38" s="704"/>
      <c r="SDY38" s="704"/>
      <c r="SDZ38" s="704"/>
      <c r="SEA38" s="704"/>
      <c r="SEB38" s="704"/>
      <c r="SEC38" s="704"/>
      <c r="SED38" s="704"/>
      <c r="SEE38" s="704"/>
      <c r="SEF38" s="704"/>
      <c r="SEG38" s="704"/>
      <c r="SEH38" s="704"/>
      <c r="SEI38" s="704"/>
      <c r="SEJ38" s="704"/>
      <c r="SEK38" s="704"/>
      <c r="SEL38" s="704"/>
      <c r="SEM38" s="704"/>
      <c r="SEN38" s="704"/>
      <c r="SEO38" s="704"/>
      <c r="SEP38" s="704"/>
      <c r="SEQ38" s="704"/>
      <c r="SER38" s="704"/>
      <c r="SES38" s="704"/>
      <c r="SET38" s="704"/>
      <c r="SEU38" s="704"/>
      <c r="SEV38" s="704"/>
      <c r="SEW38" s="704"/>
      <c r="SEX38" s="704"/>
      <c r="SEY38" s="704"/>
      <c r="SEZ38" s="704"/>
      <c r="SFA38" s="704"/>
      <c r="SFB38" s="704"/>
      <c r="SFC38" s="704"/>
      <c r="SFD38" s="704"/>
      <c r="SFE38" s="704"/>
      <c r="SFF38" s="704"/>
      <c r="SFG38" s="704"/>
      <c r="SFH38" s="704"/>
      <c r="SFI38" s="704"/>
      <c r="SFJ38" s="704"/>
      <c r="SFK38" s="704"/>
      <c r="SFL38" s="704"/>
      <c r="SFM38" s="704"/>
      <c r="SFN38" s="704"/>
      <c r="SFO38" s="704"/>
      <c r="SFP38" s="704"/>
      <c r="SFQ38" s="704"/>
      <c r="SFR38" s="704"/>
      <c r="SFS38" s="704"/>
      <c r="SFT38" s="704"/>
      <c r="SFU38" s="704"/>
      <c r="SFV38" s="704"/>
      <c r="SFW38" s="704"/>
      <c r="SFX38" s="704"/>
      <c r="SFY38" s="704"/>
      <c r="SFZ38" s="704"/>
      <c r="SGA38" s="704"/>
      <c r="SGB38" s="704"/>
      <c r="SGC38" s="704"/>
      <c r="SGD38" s="704"/>
      <c r="SGE38" s="704"/>
      <c r="SGF38" s="704"/>
      <c r="SGG38" s="704"/>
      <c r="SGH38" s="704"/>
      <c r="SGI38" s="704"/>
      <c r="SGJ38" s="704"/>
      <c r="SGK38" s="704"/>
      <c r="SGL38" s="704"/>
      <c r="SGM38" s="704"/>
      <c r="SGN38" s="704"/>
      <c r="SGO38" s="704"/>
      <c r="SGP38" s="704"/>
      <c r="SGQ38" s="704"/>
      <c r="SGR38" s="704"/>
      <c r="SGS38" s="704"/>
      <c r="SGT38" s="704"/>
      <c r="SGU38" s="704"/>
      <c r="SGV38" s="704"/>
      <c r="SGW38" s="704"/>
      <c r="SGX38" s="704"/>
      <c r="SGY38" s="704"/>
      <c r="SGZ38" s="704"/>
      <c r="SHA38" s="704"/>
      <c r="SHB38" s="704"/>
      <c r="SHC38" s="704"/>
      <c r="SHD38" s="704"/>
      <c r="SHE38" s="704"/>
      <c r="SHF38" s="704"/>
      <c r="SHG38" s="704"/>
      <c r="SHH38" s="704"/>
      <c r="SHI38" s="704"/>
      <c r="SHJ38" s="704"/>
      <c r="SHK38" s="704"/>
      <c r="SHL38" s="704"/>
      <c r="SHM38" s="704"/>
      <c r="SHN38" s="704"/>
      <c r="SHO38" s="704"/>
      <c r="SHP38" s="704"/>
      <c r="SHQ38" s="704"/>
      <c r="SHR38" s="704"/>
      <c r="SHS38" s="704"/>
      <c r="SHT38" s="704"/>
      <c r="SHU38" s="704"/>
      <c r="SHV38" s="704"/>
      <c r="SHW38" s="704"/>
      <c r="SHX38" s="704"/>
      <c r="SHY38" s="704"/>
      <c r="SHZ38" s="704"/>
      <c r="SIA38" s="704"/>
      <c r="SIB38" s="704"/>
      <c r="SIC38" s="704"/>
      <c r="SID38" s="704"/>
      <c r="SIE38" s="704"/>
      <c r="SIF38" s="704"/>
      <c r="SIG38" s="704"/>
      <c r="SIH38" s="704"/>
      <c r="SII38" s="704"/>
      <c r="SIJ38" s="704"/>
      <c r="SIK38" s="704"/>
      <c r="SIL38" s="704"/>
      <c r="SIM38" s="704"/>
      <c r="SIN38" s="704"/>
      <c r="SIO38" s="704"/>
      <c r="SIP38" s="704"/>
      <c r="SIQ38" s="704"/>
      <c r="SIR38" s="704"/>
      <c r="SIS38" s="704"/>
      <c r="SIT38" s="704"/>
      <c r="SIU38" s="704"/>
      <c r="SIV38" s="704"/>
      <c r="SIW38" s="704"/>
      <c r="SIX38" s="704"/>
      <c r="SIY38" s="704"/>
      <c r="SIZ38" s="704"/>
      <c r="SJA38" s="704"/>
      <c r="SJB38" s="704"/>
      <c r="SJC38" s="704"/>
      <c r="SJD38" s="704"/>
      <c r="SJE38" s="704"/>
      <c r="SJF38" s="704"/>
      <c r="SJG38" s="704"/>
      <c r="SJH38" s="704"/>
      <c r="SJI38" s="704"/>
      <c r="SJJ38" s="704"/>
      <c r="SJK38" s="704"/>
      <c r="SJL38" s="704"/>
      <c r="SJM38" s="704"/>
      <c r="SJN38" s="704"/>
      <c r="SJO38" s="704"/>
      <c r="SJP38" s="704"/>
      <c r="SJQ38" s="704"/>
      <c r="SJR38" s="704"/>
      <c r="SJS38" s="704"/>
      <c r="SJT38" s="704"/>
      <c r="SJU38" s="704"/>
      <c r="SJV38" s="704"/>
      <c r="SJW38" s="704"/>
      <c r="SJX38" s="704"/>
      <c r="SJY38" s="704"/>
      <c r="SJZ38" s="704"/>
      <c r="SKA38" s="704"/>
      <c r="SKB38" s="704"/>
      <c r="SKC38" s="704"/>
      <c r="SKD38" s="704"/>
      <c r="SKE38" s="704"/>
      <c r="SKF38" s="704"/>
      <c r="SKG38" s="704"/>
      <c r="SKH38" s="704"/>
      <c r="SKI38" s="704"/>
      <c r="SKJ38" s="704"/>
      <c r="SKK38" s="704"/>
      <c r="SKL38" s="704"/>
      <c r="SKM38" s="704"/>
      <c r="SKN38" s="704"/>
      <c r="SKO38" s="704"/>
      <c r="SKP38" s="704"/>
      <c r="SKQ38" s="704"/>
      <c r="SKR38" s="704"/>
      <c r="SKS38" s="704"/>
      <c r="SKT38" s="704"/>
      <c r="SKU38" s="704"/>
      <c r="SKV38" s="704"/>
      <c r="SKW38" s="704"/>
      <c r="SKX38" s="704"/>
      <c r="SKY38" s="704"/>
      <c r="SKZ38" s="704"/>
      <c r="SLA38" s="704"/>
      <c r="SLB38" s="704"/>
      <c r="SLC38" s="704"/>
      <c r="SLD38" s="704"/>
      <c r="SLE38" s="704"/>
      <c r="SLF38" s="704"/>
      <c r="SLG38" s="704"/>
      <c r="SLH38" s="704"/>
      <c r="SLI38" s="704"/>
      <c r="SLJ38" s="704"/>
      <c r="SLK38" s="704"/>
      <c r="SLL38" s="704"/>
      <c r="SLM38" s="704"/>
      <c r="SLN38" s="704"/>
      <c r="SLO38" s="704"/>
      <c r="SLP38" s="704"/>
      <c r="SLQ38" s="704"/>
      <c r="SLR38" s="704"/>
      <c r="SLS38" s="704"/>
      <c r="SLT38" s="704"/>
      <c r="SLU38" s="704"/>
      <c r="SLV38" s="704"/>
      <c r="SLW38" s="704"/>
      <c r="SLX38" s="704"/>
      <c r="SLY38" s="704"/>
      <c r="SLZ38" s="704"/>
      <c r="SMA38" s="704"/>
      <c r="SMB38" s="704"/>
      <c r="SMC38" s="704"/>
      <c r="SMD38" s="704"/>
      <c r="SME38" s="704"/>
      <c r="SMF38" s="704"/>
      <c r="SMG38" s="704"/>
      <c r="SMH38" s="704"/>
      <c r="SMI38" s="704"/>
      <c r="SMJ38" s="704"/>
      <c r="SMK38" s="704"/>
      <c r="SML38" s="704"/>
      <c r="SMM38" s="704"/>
      <c r="SMN38" s="704"/>
      <c r="SMO38" s="704"/>
      <c r="SMP38" s="704"/>
      <c r="SMQ38" s="704"/>
      <c r="SMR38" s="704"/>
      <c r="SMS38" s="704"/>
      <c r="SMT38" s="704"/>
      <c r="SMU38" s="704"/>
      <c r="SMV38" s="704"/>
      <c r="SMW38" s="704"/>
      <c r="SMX38" s="704"/>
      <c r="SMY38" s="704"/>
      <c r="SMZ38" s="704"/>
      <c r="SNA38" s="704"/>
      <c r="SNB38" s="704"/>
      <c r="SNC38" s="704"/>
      <c r="SND38" s="704"/>
      <c r="SNE38" s="704"/>
      <c r="SNF38" s="704"/>
      <c r="SNG38" s="704"/>
      <c r="SNH38" s="704"/>
      <c r="SNI38" s="704"/>
      <c r="SNJ38" s="704"/>
      <c r="SNK38" s="704"/>
      <c r="SNL38" s="704"/>
      <c r="SNM38" s="704"/>
      <c r="SNN38" s="704"/>
      <c r="SNO38" s="704"/>
      <c r="SNP38" s="704"/>
      <c r="SNQ38" s="704"/>
      <c r="SNR38" s="704"/>
      <c r="SNS38" s="704"/>
      <c r="SNT38" s="704"/>
      <c r="SNU38" s="704"/>
      <c r="SNV38" s="704"/>
      <c r="SNW38" s="704"/>
      <c r="SNX38" s="704"/>
      <c r="SNY38" s="704"/>
      <c r="SNZ38" s="704"/>
      <c r="SOA38" s="704"/>
      <c r="SOB38" s="704"/>
      <c r="SOC38" s="704"/>
      <c r="SOD38" s="704"/>
      <c r="SOE38" s="704"/>
      <c r="SOF38" s="704"/>
      <c r="SOG38" s="704"/>
      <c r="SOH38" s="704"/>
      <c r="SOI38" s="704"/>
      <c r="SOJ38" s="704"/>
      <c r="SOK38" s="704"/>
      <c r="SOL38" s="704"/>
      <c r="SOM38" s="704"/>
      <c r="SON38" s="704"/>
      <c r="SOO38" s="704"/>
      <c r="SOP38" s="704"/>
      <c r="SOQ38" s="704"/>
      <c r="SOR38" s="704"/>
      <c r="SOS38" s="704"/>
      <c r="SOT38" s="704"/>
      <c r="SOU38" s="704"/>
      <c r="SOV38" s="704"/>
      <c r="SOW38" s="704"/>
      <c r="SOX38" s="704"/>
      <c r="SOY38" s="704"/>
      <c r="SOZ38" s="704"/>
      <c r="SPA38" s="704"/>
      <c r="SPB38" s="704"/>
      <c r="SPC38" s="704"/>
      <c r="SPD38" s="704"/>
      <c r="SPE38" s="704"/>
      <c r="SPF38" s="704"/>
      <c r="SPG38" s="704"/>
      <c r="SPH38" s="704"/>
      <c r="SPI38" s="704"/>
      <c r="SPJ38" s="704"/>
      <c r="SPK38" s="704"/>
      <c r="SPL38" s="704"/>
      <c r="SPM38" s="704"/>
      <c r="SPN38" s="704"/>
      <c r="SPO38" s="704"/>
      <c r="SPP38" s="704"/>
      <c r="SPQ38" s="704"/>
      <c r="SPR38" s="704"/>
      <c r="SPS38" s="704"/>
      <c r="SPT38" s="704"/>
      <c r="SPU38" s="704"/>
      <c r="SPV38" s="704"/>
      <c r="SPW38" s="704"/>
      <c r="SPX38" s="704"/>
      <c r="SPY38" s="704"/>
      <c r="SPZ38" s="704"/>
      <c r="SQA38" s="704"/>
      <c r="SQB38" s="704"/>
      <c r="SQC38" s="704"/>
      <c r="SQD38" s="704"/>
      <c r="SQE38" s="704"/>
      <c r="SQF38" s="704"/>
      <c r="SQG38" s="704"/>
      <c r="SQH38" s="704"/>
      <c r="SQI38" s="704"/>
      <c r="SQJ38" s="704"/>
      <c r="SQK38" s="704"/>
      <c r="SQL38" s="704"/>
      <c r="SQM38" s="704"/>
      <c r="SQN38" s="704"/>
      <c r="SQO38" s="704"/>
      <c r="SQP38" s="704"/>
      <c r="SQQ38" s="704"/>
      <c r="SQR38" s="704"/>
      <c r="SQS38" s="704"/>
      <c r="SQT38" s="704"/>
      <c r="SQU38" s="704"/>
      <c r="SQV38" s="704"/>
      <c r="SQW38" s="704"/>
      <c r="SQX38" s="704"/>
      <c r="SQY38" s="704"/>
      <c r="SQZ38" s="704"/>
      <c r="SRA38" s="704"/>
      <c r="SRB38" s="704"/>
      <c r="SRC38" s="704"/>
      <c r="SRD38" s="704"/>
      <c r="SRE38" s="704"/>
      <c r="SRF38" s="704"/>
      <c r="SRG38" s="704"/>
      <c r="SRH38" s="704"/>
      <c r="SRI38" s="704"/>
      <c r="SRJ38" s="704"/>
      <c r="SRK38" s="704"/>
      <c r="SRL38" s="704"/>
      <c r="SRM38" s="704"/>
      <c r="SRN38" s="704"/>
      <c r="SRO38" s="704"/>
      <c r="SRP38" s="704"/>
      <c r="SRQ38" s="704"/>
      <c r="SRR38" s="704"/>
      <c r="SRS38" s="704"/>
      <c r="SRT38" s="704"/>
      <c r="SRU38" s="704"/>
      <c r="SRV38" s="704"/>
      <c r="SRW38" s="704"/>
      <c r="SRX38" s="704"/>
      <c r="SRY38" s="704"/>
      <c r="SRZ38" s="704"/>
      <c r="SSA38" s="704"/>
      <c r="SSB38" s="704"/>
      <c r="SSC38" s="704"/>
      <c r="SSD38" s="704"/>
      <c r="SSE38" s="704"/>
      <c r="SSF38" s="704"/>
      <c r="SSG38" s="704"/>
      <c r="SSH38" s="704"/>
      <c r="SSI38" s="704"/>
      <c r="SSJ38" s="704"/>
      <c r="SSK38" s="704"/>
      <c r="SSL38" s="704"/>
      <c r="SSM38" s="704"/>
      <c r="SSN38" s="704"/>
      <c r="SSO38" s="704"/>
      <c r="SSP38" s="704"/>
      <c r="SSQ38" s="704"/>
      <c r="SSR38" s="704"/>
      <c r="SSS38" s="704"/>
      <c r="SST38" s="704"/>
      <c r="SSU38" s="704"/>
      <c r="SSV38" s="704"/>
      <c r="SSW38" s="704"/>
      <c r="SSX38" s="704"/>
      <c r="SSY38" s="704"/>
      <c r="SSZ38" s="704"/>
      <c r="STA38" s="704"/>
      <c r="STB38" s="704"/>
      <c r="STC38" s="704"/>
      <c r="STD38" s="704"/>
      <c r="STE38" s="704"/>
      <c r="STF38" s="704"/>
      <c r="STG38" s="704"/>
      <c r="STH38" s="704"/>
      <c r="STI38" s="704"/>
      <c r="STJ38" s="704"/>
      <c r="STK38" s="704"/>
      <c r="STL38" s="704"/>
      <c r="STM38" s="704"/>
      <c r="STN38" s="704"/>
      <c r="STO38" s="704"/>
      <c r="STP38" s="704"/>
      <c r="STQ38" s="704"/>
      <c r="STR38" s="704"/>
      <c r="STS38" s="704"/>
      <c r="STT38" s="704"/>
      <c r="STU38" s="704"/>
      <c r="STV38" s="704"/>
      <c r="STW38" s="704"/>
      <c r="STX38" s="704"/>
      <c r="STY38" s="704"/>
      <c r="STZ38" s="704"/>
      <c r="SUA38" s="704"/>
      <c r="SUB38" s="704"/>
      <c r="SUC38" s="704"/>
      <c r="SUD38" s="704"/>
      <c r="SUE38" s="704"/>
      <c r="SUF38" s="704"/>
      <c r="SUG38" s="704"/>
      <c r="SUH38" s="704"/>
      <c r="SUI38" s="704"/>
      <c r="SUJ38" s="704"/>
      <c r="SUK38" s="704"/>
      <c r="SUL38" s="704"/>
      <c r="SUM38" s="704"/>
      <c r="SUN38" s="704"/>
      <c r="SUO38" s="704"/>
      <c r="SUP38" s="704"/>
      <c r="SUQ38" s="704"/>
      <c r="SUR38" s="704"/>
      <c r="SUS38" s="704"/>
      <c r="SUT38" s="704"/>
      <c r="SUU38" s="704"/>
      <c r="SUV38" s="704"/>
      <c r="SUW38" s="704"/>
      <c r="SUX38" s="704"/>
      <c r="SUY38" s="704"/>
      <c r="SUZ38" s="704"/>
      <c r="SVA38" s="704"/>
      <c r="SVB38" s="704"/>
      <c r="SVC38" s="704"/>
      <c r="SVD38" s="704"/>
      <c r="SVE38" s="704"/>
      <c r="SVF38" s="704"/>
      <c r="SVG38" s="704"/>
      <c r="SVH38" s="704"/>
      <c r="SVI38" s="704"/>
      <c r="SVJ38" s="704"/>
      <c r="SVK38" s="704"/>
      <c r="SVL38" s="704"/>
      <c r="SVM38" s="704"/>
      <c r="SVN38" s="704"/>
      <c r="SVO38" s="704"/>
      <c r="SVP38" s="704"/>
      <c r="SVQ38" s="704"/>
      <c r="SVR38" s="704"/>
      <c r="SVS38" s="704"/>
      <c r="SVT38" s="704"/>
      <c r="SVU38" s="704"/>
      <c r="SVV38" s="704"/>
      <c r="SVW38" s="704"/>
      <c r="SVX38" s="704"/>
      <c r="SVY38" s="704"/>
      <c r="SVZ38" s="704"/>
      <c r="SWA38" s="704"/>
      <c r="SWB38" s="704"/>
      <c r="SWC38" s="704"/>
      <c r="SWD38" s="704"/>
      <c r="SWE38" s="704"/>
      <c r="SWF38" s="704"/>
      <c r="SWG38" s="704"/>
      <c r="SWH38" s="704"/>
      <c r="SWI38" s="704"/>
      <c r="SWJ38" s="704"/>
      <c r="SWK38" s="704"/>
      <c r="SWL38" s="704"/>
      <c r="SWM38" s="704"/>
      <c r="SWN38" s="704"/>
      <c r="SWO38" s="704"/>
      <c r="SWP38" s="704"/>
      <c r="SWQ38" s="704"/>
      <c r="SWR38" s="704"/>
      <c r="SWS38" s="704"/>
      <c r="SWT38" s="704"/>
      <c r="SWU38" s="704"/>
      <c r="SWV38" s="704"/>
      <c r="SWW38" s="704"/>
      <c r="SWX38" s="704"/>
      <c r="SWY38" s="704"/>
      <c r="SWZ38" s="704"/>
      <c r="SXA38" s="704"/>
      <c r="SXB38" s="704"/>
      <c r="SXC38" s="704"/>
      <c r="SXD38" s="704"/>
      <c r="SXE38" s="704"/>
      <c r="SXF38" s="704"/>
      <c r="SXG38" s="704"/>
      <c r="SXH38" s="704"/>
      <c r="SXI38" s="704"/>
      <c r="SXJ38" s="704"/>
      <c r="SXK38" s="704"/>
      <c r="SXL38" s="704"/>
      <c r="SXM38" s="704"/>
      <c r="SXN38" s="704"/>
      <c r="SXO38" s="704"/>
      <c r="SXP38" s="704"/>
      <c r="SXQ38" s="704"/>
      <c r="SXR38" s="704"/>
      <c r="SXS38" s="704"/>
      <c r="SXT38" s="704"/>
      <c r="SXU38" s="704"/>
      <c r="SXV38" s="704"/>
      <c r="SXW38" s="704"/>
      <c r="SXX38" s="704"/>
      <c r="SXY38" s="704"/>
      <c r="SXZ38" s="704"/>
      <c r="SYA38" s="704"/>
      <c r="SYB38" s="704"/>
      <c r="SYC38" s="704"/>
      <c r="SYD38" s="704"/>
      <c r="SYE38" s="704"/>
      <c r="SYF38" s="704"/>
      <c r="SYG38" s="704"/>
      <c r="SYH38" s="704"/>
      <c r="SYI38" s="704"/>
      <c r="SYJ38" s="704"/>
      <c r="SYK38" s="704"/>
      <c r="SYL38" s="704"/>
      <c r="SYM38" s="704"/>
      <c r="SYN38" s="704"/>
      <c r="SYO38" s="704"/>
      <c r="SYP38" s="704"/>
      <c r="SYQ38" s="704"/>
      <c r="SYR38" s="704"/>
      <c r="SYS38" s="704"/>
      <c r="SYT38" s="704"/>
      <c r="SYU38" s="704"/>
      <c r="SYV38" s="704"/>
      <c r="SYW38" s="704"/>
      <c r="SYX38" s="704"/>
      <c r="SYY38" s="704"/>
      <c r="SYZ38" s="704"/>
      <c r="SZA38" s="704"/>
      <c r="SZB38" s="704"/>
      <c r="SZC38" s="704"/>
      <c r="SZD38" s="704"/>
      <c r="SZE38" s="704"/>
      <c r="SZF38" s="704"/>
      <c r="SZG38" s="704"/>
      <c r="SZH38" s="704"/>
      <c r="SZI38" s="704"/>
      <c r="SZJ38" s="704"/>
      <c r="SZK38" s="704"/>
      <c r="SZL38" s="704"/>
      <c r="SZM38" s="704"/>
      <c r="SZN38" s="704"/>
      <c r="SZO38" s="704"/>
      <c r="SZP38" s="704"/>
      <c r="SZQ38" s="704"/>
      <c r="SZR38" s="704"/>
      <c r="SZS38" s="704"/>
      <c r="SZT38" s="704"/>
      <c r="SZU38" s="704"/>
      <c r="SZV38" s="704"/>
      <c r="SZW38" s="704"/>
      <c r="SZX38" s="704"/>
      <c r="SZY38" s="704"/>
      <c r="SZZ38" s="704"/>
      <c r="TAA38" s="704"/>
      <c r="TAB38" s="704"/>
      <c r="TAC38" s="704"/>
      <c r="TAD38" s="704"/>
      <c r="TAE38" s="704"/>
      <c r="TAF38" s="704"/>
      <c r="TAG38" s="704"/>
      <c r="TAH38" s="704"/>
      <c r="TAI38" s="704"/>
      <c r="TAJ38" s="704"/>
      <c r="TAK38" s="704"/>
      <c r="TAL38" s="704"/>
      <c r="TAM38" s="704"/>
      <c r="TAN38" s="704"/>
      <c r="TAO38" s="704"/>
      <c r="TAP38" s="704"/>
      <c r="TAQ38" s="704"/>
      <c r="TAR38" s="704"/>
      <c r="TAS38" s="704"/>
      <c r="TAT38" s="704"/>
      <c r="TAU38" s="704"/>
      <c r="TAV38" s="704"/>
      <c r="TAW38" s="704"/>
      <c r="TAX38" s="704"/>
      <c r="TAY38" s="704"/>
      <c r="TAZ38" s="704"/>
      <c r="TBA38" s="704"/>
      <c r="TBB38" s="704"/>
      <c r="TBC38" s="704"/>
      <c r="TBD38" s="704"/>
      <c r="TBE38" s="704"/>
      <c r="TBF38" s="704"/>
      <c r="TBG38" s="704"/>
      <c r="TBH38" s="704"/>
      <c r="TBI38" s="704"/>
      <c r="TBJ38" s="704"/>
      <c r="TBK38" s="704"/>
      <c r="TBL38" s="704"/>
      <c r="TBM38" s="704"/>
      <c r="TBN38" s="704"/>
      <c r="TBO38" s="704"/>
      <c r="TBP38" s="704"/>
      <c r="TBQ38" s="704"/>
      <c r="TBR38" s="704"/>
      <c r="TBS38" s="704"/>
      <c r="TBT38" s="704"/>
      <c r="TBU38" s="704"/>
      <c r="TBV38" s="704"/>
      <c r="TBW38" s="704"/>
      <c r="TBX38" s="704"/>
      <c r="TBY38" s="704"/>
      <c r="TBZ38" s="704"/>
      <c r="TCA38" s="704"/>
      <c r="TCB38" s="704"/>
      <c r="TCC38" s="704"/>
      <c r="TCD38" s="704"/>
      <c r="TCE38" s="704"/>
      <c r="TCF38" s="704"/>
      <c r="TCG38" s="704"/>
      <c r="TCH38" s="704"/>
      <c r="TCI38" s="704"/>
      <c r="TCJ38" s="704"/>
      <c r="TCK38" s="704"/>
      <c r="TCL38" s="704"/>
      <c r="TCM38" s="704"/>
      <c r="TCN38" s="704"/>
      <c r="TCO38" s="704"/>
      <c r="TCP38" s="704"/>
      <c r="TCQ38" s="704"/>
      <c r="TCR38" s="704"/>
      <c r="TCS38" s="704"/>
      <c r="TCT38" s="704"/>
      <c r="TCU38" s="704"/>
      <c r="TCV38" s="704"/>
      <c r="TCW38" s="704"/>
      <c r="TCX38" s="704"/>
      <c r="TCY38" s="704"/>
      <c r="TCZ38" s="704"/>
      <c r="TDA38" s="704"/>
      <c r="TDB38" s="704"/>
      <c r="TDC38" s="704"/>
      <c r="TDD38" s="704"/>
      <c r="TDE38" s="704"/>
      <c r="TDF38" s="704"/>
      <c r="TDG38" s="704"/>
      <c r="TDH38" s="704"/>
      <c r="TDI38" s="704"/>
      <c r="TDJ38" s="704"/>
      <c r="TDK38" s="704"/>
      <c r="TDL38" s="704"/>
      <c r="TDM38" s="704"/>
      <c r="TDN38" s="704"/>
      <c r="TDO38" s="704"/>
      <c r="TDP38" s="704"/>
      <c r="TDQ38" s="704"/>
      <c r="TDR38" s="704"/>
      <c r="TDS38" s="704"/>
      <c r="TDT38" s="704"/>
      <c r="TDU38" s="704"/>
      <c r="TDV38" s="704"/>
      <c r="TDW38" s="704"/>
      <c r="TDX38" s="704"/>
      <c r="TDY38" s="704"/>
      <c r="TDZ38" s="704"/>
      <c r="TEA38" s="704"/>
      <c r="TEB38" s="704"/>
      <c r="TEC38" s="704"/>
      <c r="TED38" s="704"/>
      <c r="TEE38" s="704"/>
      <c r="TEF38" s="704"/>
      <c r="TEG38" s="704"/>
      <c r="TEH38" s="704"/>
      <c r="TEI38" s="704"/>
      <c r="TEJ38" s="704"/>
      <c r="TEK38" s="704"/>
      <c r="TEL38" s="704"/>
      <c r="TEM38" s="704"/>
      <c r="TEN38" s="704"/>
      <c r="TEO38" s="704"/>
      <c r="TEP38" s="704"/>
      <c r="TEQ38" s="704"/>
      <c r="TER38" s="704"/>
      <c r="TES38" s="704"/>
      <c r="TET38" s="704"/>
      <c r="TEU38" s="704"/>
      <c r="TEV38" s="704"/>
      <c r="TEW38" s="704"/>
      <c r="TEX38" s="704"/>
      <c r="TEY38" s="704"/>
      <c r="TEZ38" s="704"/>
      <c r="TFA38" s="704"/>
      <c r="TFB38" s="704"/>
      <c r="TFC38" s="704"/>
      <c r="TFD38" s="704"/>
      <c r="TFE38" s="704"/>
      <c r="TFF38" s="704"/>
      <c r="TFG38" s="704"/>
      <c r="TFH38" s="704"/>
      <c r="TFI38" s="704"/>
      <c r="TFJ38" s="704"/>
      <c r="TFK38" s="704"/>
      <c r="TFL38" s="704"/>
      <c r="TFM38" s="704"/>
      <c r="TFN38" s="704"/>
      <c r="TFO38" s="704"/>
      <c r="TFP38" s="704"/>
      <c r="TFQ38" s="704"/>
      <c r="TFR38" s="704"/>
      <c r="TFS38" s="704"/>
      <c r="TFT38" s="704"/>
      <c r="TFU38" s="704"/>
      <c r="TFV38" s="704"/>
      <c r="TFW38" s="704"/>
      <c r="TFX38" s="704"/>
      <c r="TFY38" s="704"/>
      <c r="TFZ38" s="704"/>
      <c r="TGA38" s="704"/>
      <c r="TGB38" s="704"/>
      <c r="TGC38" s="704"/>
      <c r="TGD38" s="704"/>
      <c r="TGE38" s="704"/>
      <c r="TGF38" s="704"/>
      <c r="TGG38" s="704"/>
      <c r="TGH38" s="704"/>
      <c r="TGI38" s="704"/>
      <c r="TGJ38" s="704"/>
      <c r="TGK38" s="704"/>
      <c r="TGL38" s="704"/>
      <c r="TGM38" s="704"/>
      <c r="TGN38" s="704"/>
      <c r="TGO38" s="704"/>
      <c r="TGP38" s="704"/>
      <c r="TGQ38" s="704"/>
      <c r="TGR38" s="704"/>
      <c r="TGS38" s="704"/>
      <c r="TGT38" s="704"/>
      <c r="TGU38" s="704"/>
      <c r="TGV38" s="704"/>
      <c r="TGW38" s="704"/>
      <c r="TGX38" s="704"/>
      <c r="TGY38" s="704"/>
      <c r="TGZ38" s="704"/>
      <c r="THA38" s="704"/>
      <c r="THB38" s="704"/>
      <c r="THC38" s="704"/>
      <c r="THD38" s="704"/>
      <c r="THE38" s="704"/>
      <c r="THF38" s="704"/>
      <c r="THG38" s="704"/>
      <c r="THH38" s="704"/>
      <c r="THI38" s="704"/>
      <c r="THJ38" s="704"/>
      <c r="THK38" s="704"/>
      <c r="THL38" s="704"/>
      <c r="THM38" s="704"/>
      <c r="THN38" s="704"/>
      <c r="THO38" s="704"/>
      <c r="THP38" s="704"/>
      <c r="THQ38" s="704"/>
      <c r="THR38" s="704"/>
      <c r="THS38" s="704"/>
      <c r="THT38" s="704"/>
      <c r="THU38" s="704"/>
      <c r="THV38" s="704"/>
      <c r="THW38" s="704"/>
      <c r="THX38" s="704"/>
      <c r="THY38" s="704"/>
      <c r="THZ38" s="704"/>
      <c r="TIA38" s="704"/>
      <c r="TIB38" s="704"/>
      <c r="TIC38" s="704"/>
      <c r="TID38" s="704"/>
      <c r="TIE38" s="704"/>
      <c r="TIF38" s="704"/>
      <c r="TIG38" s="704"/>
      <c r="TIH38" s="704"/>
      <c r="TII38" s="704"/>
      <c r="TIJ38" s="704"/>
      <c r="TIK38" s="704"/>
      <c r="TIL38" s="704"/>
      <c r="TIM38" s="704"/>
      <c r="TIN38" s="704"/>
      <c r="TIO38" s="704"/>
      <c r="TIP38" s="704"/>
      <c r="TIQ38" s="704"/>
      <c r="TIR38" s="704"/>
      <c r="TIS38" s="704"/>
      <c r="TIT38" s="704"/>
      <c r="TIU38" s="704"/>
      <c r="TIV38" s="704"/>
      <c r="TIW38" s="704"/>
      <c r="TIX38" s="704"/>
      <c r="TIY38" s="704"/>
      <c r="TIZ38" s="704"/>
      <c r="TJA38" s="704"/>
      <c r="TJB38" s="704"/>
      <c r="TJC38" s="704"/>
      <c r="TJD38" s="704"/>
      <c r="TJE38" s="704"/>
      <c r="TJF38" s="704"/>
      <c r="TJG38" s="704"/>
      <c r="TJH38" s="704"/>
      <c r="TJI38" s="704"/>
      <c r="TJJ38" s="704"/>
      <c r="TJK38" s="704"/>
      <c r="TJL38" s="704"/>
      <c r="TJM38" s="704"/>
      <c r="TJN38" s="704"/>
      <c r="TJO38" s="704"/>
      <c r="TJP38" s="704"/>
      <c r="TJQ38" s="704"/>
      <c r="TJR38" s="704"/>
      <c r="TJS38" s="704"/>
      <c r="TJT38" s="704"/>
      <c r="TJU38" s="704"/>
      <c r="TJV38" s="704"/>
      <c r="TJW38" s="704"/>
      <c r="TJX38" s="704"/>
      <c r="TJY38" s="704"/>
      <c r="TJZ38" s="704"/>
      <c r="TKA38" s="704"/>
      <c r="TKB38" s="704"/>
      <c r="TKC38" s="704"/>
      <c r="TKD38" s="704"/>
      <c r="TKE38" s="704"/>
      <c r="TKF38" s="704"/>
      <c r="TKG38" s="704"/>
      <c r="TKH38" s="704"/>
      <c r="TKI38" s="704"/>
      <c r="TKJ38" s="704"/>
      <c r="TKK38" s="704"/>
      <c r="TKL38" s="704"/>
      <c r="TKM38" s="704"/>
      <c r="TKN38" s="704"/>
      <c r="TKO38" s="704"/>
      <c r="TKP38" s="704"/>
      <c r="TKQ38" s="704"/>
      <c r="TKR38" s="704"/>
      <c r="TKS38" s="704"/>
      <c r="TKT38" s="704"/>
      <c r="TKU38" s="704"/>
      <c r="TKV38" s="704"/>
      <c r="TKW38" s="704"/>
      <c r="TKX38" s="704"/>
      <c r="TKY38" s="704"/>
      <c r="TKZ38" s="704"/>
      <c r="TLA38" s="704"/>
      <c r="TLB38" s="704"/>
      <c r="TLC38" s="704"/>
      <c r="TLD38" s="704"/>
      <c r="TLE38" s="704"/>
      <c r="TLF38" s="704"/>
      <c r="TLG38" s="704"/>
      <c r="TLH38" s="704"/>
      <c r="TLI38" s="704"/>
      <c r="TLJ38" s="704"/>
      <c r="TLK38" s="704"/>
      <c r="TLL38" s="704"/>
      <c r="TLM38" s="704"/>
      <c r="TLN38" s="704"/>
      <c r="TLO38" s="704"/>
      <c r="TLP38" s="704"/>
      <c r="TLQ38" s="704"/>
      <c r="TLR38" s="704"/>
      <c r="TLS38" s="704"/>
      <c r="TLT38" s="704"/>
      <c r="TLU38" s="704"/>
      <c r="TLV38" s="704"/>
      <c r="TLW38" s="704"/>
      <c r="TLX38" s="704"/>
      <c r="TLY38" s="704"/>
      <c r="TLZ38" s="704"/>
      <c r="TMA38" s="704"/>
      <c r="TMB38" s="704"/>
      <c r="TMC38" s="704"/>
      <c r="TMD38" s="704"/>
      <c r="TME38" s="704"/>
      <c r="TMF38" s="704"/>
      <c r="TMG38" s="704"/>
      <c r="TMH38" s="704"/>
      <c r="TMI38" s="704"/>
      <c r="TMJ38" s="704"/>
      <c r="TMK38" s="704"/>
      <c r="TML38" s="704"/>
      <c r="TMM38" s="704"/>
      <c r="TMN38" s="704"/>
      <c r="TMO38" s="704"/>
      <c r="TMP38" s="704"/>
      <c r="TMQ38" s="704"/>
      <c r="TMR38" s="704"/>
      <c r="TMS38" s="704"/>
      <c r="TMT38" s="704"/>
      <c r="TMU38" s="704"/>
      <c r="TMV38" s="704"/>
      <c r="TMW38" s="704"/>
      <c r="TMX38" s="704"/>
      <c r="TMY38" s="704"/>
      <c r="TMZ38" s="704"/>
      <c r="TNA38" s="704"/>
      <c r="TNB38" s="704"/>
      <c r="TNC38" s="704"/>
      <c r="TND38" s="704"/>
      <c r="TNE38" s="704"/>
      <c r="TNF38" s="704"/>
      <c r="TNG38" s="704"/>
      <c r="TNH38" s="704"/>
      <c r="TNI38" s="704"/>
      <c r="TNJ38" s="704"/>
      <c r="TNK38" s="704"/>
      <c r="TNL38" s="704"/>
      <c r="TNM38" s="704"/>
      <c r="TNN38" s="704"/>
      <c r="TNO38" s="704"/>
      <c r="TNP38" s="704"/>
      <c r="TNQ38" s="704"/>
      <c r="TNR38" s="704"/>
      <c r="TNS38" s="704"/>
      <c r="TNT38" s="704"/>
      <c r="TNU38" s="704"/>
      <c r="TNV38" s="704"/>
      <c r="TNW38" s="704"/>
      <c r="TNX38" s="704"/>
      <c r="TNY38" s="704"/>
      <c r="TNZ38" s="704"/>
      <c r="TOA38" s="704"/>
      <c r="TOB38" s="704"/>
      <c r="TOC38" s="704"/>
      <c r="TOD38" s="704"/>
      <c r="TOE38" s="704"/>
      <c r="TOF38" s="704"/>
      <c r="TOG38" s="704"/>
      <c r="TOH38" s="704"/>
      <c r="TOI38" s="704"/>
      <c r="TOJ38" s="704"/>
      <c r="TOK38" s="704"/>
      <c r="TOL38" s="704"/>
      <c r="TOM38" s="704"/>
      <c r="TON38" s="704"/>
      <c r="TOO38" s="704"/>
      <c r="TOP38" s="704"/>
      <c r="TOQ38" s="704"/>
      <c r="TOR38" s="704"/>
      <c r="TOS38" s="704"/>
      <c r="TOT38" s="704"/>
      <c r="TOU38" s="704"/>
      <c r="TOV38" s="704"/>
      <c r="TOW38" s="704"/>
      <c r="TOX38" s="704"/>
      <c r="TOY38" s="704"/>
      <c r="TOZ38" s="704"/>
      <c r="TPA38" s="704"/>
      <c r="TPB38" s="704"/>
      <c r="TPC38" s="704"/>
      <c r="TPD38" s="704"/>
      <c r="TPE38" s="704"/>
      <c r="TPF38" s="704"/>
      <c r="TPG38" s="704"/>
      <c r="TPH38" s="704"/>
      <c r="TPI38" s="704"/>
      <c r="TPJ38" s="704"/>
      <c r="TPK38" s="704"/>
      <c r="TPL38" s="704"/>
      <c r="TPM38" s="704"/>
      <c r="TPN38" s="704"/>
      <c r="TPO38" s="704"/>
      <c r="TPP38" s="704"/>
      <c r="TPQ38" s="704"/>
      <c r="TPR38" s="704"/>
      <c r="TPS38" s="704"/>
      <c r="TPT38" s="704"/>
      <c r="TPU38" s="704"/>
      <c r="TPV38" s="704"/>
      <c r="TPW38" s="704"/>
      <c r="TPX38" s="704"/>
      <c r="TPY38" s="704"/>
      <c r="TPZ38" s="704"/>
      <c r="TQA38" s="704"/>
      <c r="TQB38" s="704"/>
      <c r="TQC38" s="704"/>
      <c r="TQD38" s="704"/>
      <c r="TQE38" s="704"/>
      <c r="TQF38" s="704"/>
      <c r="TQG38" s="704"/>
      <c r="TQH38" s="704"/>
      <c r="TQI38" s="704"/>
      <c r="TQJ38" s="704"/>
      <c r="TQK38" s="704"/>
      <c r="TQL38" s="704"/>
      <c r="TQM38" s="704"/>
      <c r="TQN38" s="704"/>
      <c r="TQO38" s="704"/>
      <c r="TQP38" s="704"/>
      <c r="TQQ38" s="704"/>
      <c r="TQR38" s="704"/>
      <c r="TQS38" s="704"/>
      <c r="TQT38" s="704"/>
      <c r="TQU38" s="704"/>
      <c r="TQV38" s="704"/>
      <c r="TQW38" s="704"/>
      <c r="TQX38" s="704"/>
      <c r="TQY38" s="704"/>
      <c r="TQZ38" s="704"/>
      <c r="TRA38" s="704"/>
      <c r="TRB38" s="704"/>
      <c r="TRC38" s="704"/>
      <c r="TRD38" s="704"/>
      <c r="TRE38" s="704"/>
      <c r="TRF38" s="704"/>
      <c r="TRG38" s="704"/>
      <c r="TRH38" s="704"/>
      <c r="TRI38" s="704"/>
      <c r="TRJ38" s="704"/>
      <c r="TRK38" s="704"/>
      <c r="TRL38" s="704"/>
      <c r="TRM38" s="704"/>
      <c r="TRN38" s="704"/>
      <c r="TRO38" s="704"/>
      <c r="TRP38" s="704"/>
      <c r="TRQ38" s="704"/>
      <c r="TRR38" s="704"/>
      <c r="TRS38" s="704"/>
      <c r="TRT38" s="704"/>
      <c r="TRU38" s="704"/>
      <c r="TRV38" s="704"/>
      <c r="TRW38" s="704"/>
      <c r="TRX38" s="704"/>
      <c r="TRY38" s="704"/>
      <c r="TRZ38" s="704"/>
      <c r="TSA38" s="704"/>
      <c r="TSB38" s="704"/>
      <c r="TSC38" s="704"/>
      <c r="TSD38" s="704"/>
      <c r="TSE38" s="704"/>
      <c r="TSF38" s="704"/>
      <c r="TSG38" s="704"/>
      <c r="TSH38" s="704"/>
      <c r="TSI38" s="704"/>
      <c r="TSJ38" s="704"/>
      <c r="TSK38" s="704"/>
      <c r="TSL38" s="704"/>
      <c r="TSM38" s="704"/>
      <c r="TSN38" s="704"/>
      <c r="TSO38" s="704"/>
      <c r="TSP38" s="704"/>
      <c r="TSQ38" s="704"/>
      <c r="TSR38" s="704"/>
      <c r="TSS38" s="704"/>
      <c r="TST38" s="704"/>
      <c r="TSU38" s="704"/>
      <c r="TSV38" s="704"/>
      <c r="TSW38" s="704"/>
      <c r="TSX38" s="704"/>
      <c r="TSY38" s="704"/>
      <c r="TSZ38" s="704"/>
      <c r="TTA38" s="704"/>
      <c r="TTB38" s="704"/>
      <c r="TTC38" s="704"/>
      <c r="TTD38" s="704"/>
      <c r="TTE38" s="704"/>
      <c r="TTF38" s="704"/>
      <c r="TTG38" s="704"/>
      <c r="TTH38" s="704"/>
      <c r="TTI38" s="704"/>
      <c r="TTJ38" s="704"/>
      <c r="TTK38" s="704"/>
      <c r="TTL38" s="704"/>
      <c r="TTM38" s="704"/>
      <c r="TTN38" s="704"/>
      <c r="TTO38" s="704"/>
      <c r="TTP38" s="704"/>
      <c r="TTQ38" s="704"/>
      <c r="TTR38" s="704"/>
      <c r="TTS38" s="704"/>
      <c r="TTT38" s="704"/>
      <c r="TTU38" s="704"/>
      <c r="TTV38" s="704"/>
      <c r="TTW38" s="704"/>
      <c r="TTX38" s="704"/>
      <c r="TTY38" s="704"/>
      <c r="TTZ38" s="704"/>
      <c r="TUA38" s="704"/>
      <c r="TUB38" s="704"/>
      <c r="TUC38" s="704"/>
      <c r="TUD38" s="704"/>
      <c r="TUE38" s="704"/>
      <c r="TUF38" s="704"/>
      <c r="TUG38" s="704"/>
      <c r="TUH38" s="704"/>
      <c r="TUI38" s="704"/>
      <c r="TUJ38" s="704"/>
      <c r="TUK38" s="704"/>
      <c r="TUL38" s="704"/>
      <c r="TUM38" s="704"/>
      <c r="TUN38" s="704"/>
      <c r="TUO38" s="704"/>
      <c r="TUP38" s="704"/>
      <c r="TUQ38" s="704"/>
      <c r="TUR38" s="704"/>
      <c r="TUS38" s="704"/>
      <c r="TUT38" s="704"/>
      <c r="TUU38" s="704"/>
      <c r="TUV38" s="704"/>
      <c r="TUW38" s="704"/>
      <c r="TUX38" s="704"/>
      <c r="TUY38" s="704"/>
      <c r="TUZ38" s="704"/>
      <c r="TVA38" s="704"/>
      <c r="TVB38" s="704"/>
      <c r="TVC38" s="704"/>
      <c r="TVD38" s="704"/>
      <c r="TVE38" s="704"/>
      <c r="TVF38" s="704"/>
      <c r="TVG38" s="704"/>
      <c r="TVH38" s="704"/>
      <c r="TVI38" s="704"/>
      <c r="TVJ38" s="704"/>
      <c r="TVK38" s="704"/>
      <c r="TVL38" s="704"/>
      <c r="TVM38" s="704"/>
      <c r="TVN38" s="704"/>
      <c r="TVO38" s="704"/>
      <c r="TVP38" s="704"/>
      <c r="TVQ38" s="704"/>
      <c r="TVR38" s="704"/>
      <c r="TVS38" s="704"/>
      <c r="TVT38" s="704"/>
      <c r="TVU38" s="704"/>
      <c r="TVV38" s="704"/>
      <c r="TVW38" s="704"/>
      <c r="TVX38" s="704"/>
      <c r="TVY38" s="704"/>
      <c r="TVZ38" s="704"/>
      <c r="TWA38" s="704"/>
      <c r="TWB38" s="704"/>
      <c r="TWC38" s="704"/>
      <c r="TWD38" s="704"/>
      <c r="TWE38" s="704"/>
      <c r="TWF38" s="704"/>
      <c r="TWG38" s="704"/>
      <c r="TWH38" s="704"/>
      <c r="TWI38" s="704"/>
      <c r="TWJ38" s="704"/>
      <c r="TWK38" s="704"/>
      <c r="TWL38" s="704"/>
      <c r="TWM38" s="704"/>
      <c r="TWN38" s="704"/>
      <c r="TWO38" s="704"/>
      <c r="TWP38" s="704"/>
      <c r="TWQ38" s="704"/>
      <c r="TWR38" s="704"/>
      <c r="TWS38" s="704"/>
      <c r="TWT38" s="704"/>
      <c r="TWU38" s="704"/>
      <c r="TWV38" s="704"/>
      <c r="TWW38" s="704"/>
      <c r="TWX38" s="704"/>
      <c r="TWY38" s="704"/>
      <c r="TWZ38" s="704"/>
      <c r="TXA38" s="704"/>
      <c r="TXB38" s="704"/>
      <c r="TXC38" s="704"/>
      <c r="TXD38" s="704"/>
      <c r="TXE38" s="704"/>
      <c r="TXF38" s="704"/>
      <c r="TXG38" s="704"/>
      <c r="TXH38" s="704"/>
      <c r="TXI38" s="704"/>
      <c r="TXJ38" s="704"/>
      <c r="TXK38" s="704"/>
      <c r="TXL38" s="704"/>
      <c r="TXM38" s="704"/>
      <c r="TXN38" s="704"/>
      <c r="TXO38" s="704"/>
      <c r="TXP38" s="704"/>
      <c r="TXQ38" s="704"/>
      <c r="TXR38" s="704"/>
      <c r="TXS38" s="704"/>
      <c r="TXT38" s="704"/>
      <c r="TXU38" s="704"/>
      <c r="TXV38" s="704"/>
      <c r="TXW38" s="704"/>
      <c r="TXX38" s="704"/>
      <c r="TXY38" s="704"/>
      <c r="TXZ38" s="704"/>
      <c r="TYA38" s="704"/>
      <c r="TYB38" s="704"/>
      <c r="TYC38" s="704"/>
      <c r="TYD38" s="704"/>
      <c r="TYE38" s="704"/>
      <c r="TYF38" s="704"/>
      <c r="TYG38" s="704"/>
      <c r="TYH38" s="704"/>
      <c r="TYI38" s="704"/>
      <c r="TYJ38" s="704"/>
      <c r="TYK38" s="704"/>
      <c r="TYL38" s="704"/>
      <c r="TYM38" s="704"/>
      <c r="TYN38" s="704"/>
      <c r="TYO38" s="704"/>
      <c r="TYP38" s="704"/>
      <c r="TYQ38" s="704"/>
      <c r="TYR38" s="704"/>
      <c r="TYS38" s="704"/>
      <c r="TYT38" s="704"/>
      <c r="TYU38" s="704"/>
      <c r="TYV38" s="704"/>
      <c r="TYW38" s="704"/>
      <c r="TYX38" s="704"/>
      <c r="TYY38" s="704"/>
      <c r="TYZ38" s="704"/>
      <c r="TZA38" s="704"/>
      <c r="TZB38" s="704"/>
      <c r="TZC38" s="704"/>
      <c r="TZD38" s="704"/>
      <c r="TZE38" s="704"/>
      <c r="TZF38" s="704"/>
      <c r="TZG38" s="704"/>
      <c r="TZH38" s="704"/>
      <c r="TZI38" s="704"/>
      <c r="TZJ38" s="704"/>
      <c r="TZK38" s="704"/>
      <c r="TZL38" s="704"/>
      <c r="TZM38" s="704"/>
      <c r="TZN38" s="704"/>
      <c r="TZO38" s="704"/>
      <c r="TZP38" s="704"/>
      <c r="TZQ38" s="704"/>
      <c r="TZR38" s="704"/>
      <c r="TZS38" s="704"/>
      <c r="TZT38" s="704"/>
      <c r="TZU38" s="704"/>
      <c r="TZV38" s="704"/>
      <c r="TZW38" s="704"/>
      <c r="TZX38" s="704"/>
      <c r="TZY38" s="704"/>
      <c r="TZZ38" s="704"/>
      <c r="UAA38" s="704"/>
      <c r="UAB38" s="704"/>
      <c r="UAC38" s="704"/>
      <c r="UAD38" s="704"/>
      <c r="UAE38" s="704"/>
      <c r="UAF38" s="704"/>
      <c r="UAG38" s="704"/>
      <c r="UAH38" s="704"/>
      <c r="UAI38" s="704"/>
      <c r="UAJ38" s="704"/>
      <c r="UAK38" s="704"/>
      <c r="UAL38" s="704"/>
      <c r="UAM38" s="704"/>
      <c r="UAN38" s="704"/>
      <c r="UAO38" s="704"/>
      <c r="UAP38" s="704"/>
      <c r="UAQ38" s="704"/>
      <c r="UAR38" s="704"/>
      <c r="UAS38" s="704"/>
      <c r="UAT38" s="704"/>
      <c r="UAU38" s="704"/>
      <c r="UAV38" s="704"/>
      <c r="UAW38" s="704"/>
      <c r="UAX38" s="704"/>
      <c r="UAY38" s="704"/>
      <c r="UAZ38" s="704"/>
      <c r="UBA38" s="704"/>
      <c r="UBB38" s="704"/>
      <c r="UBC38" s="704"/>
      <c r="UBD38" s="704"/>
      <c r="UBE38" s="704"/>
      <c r="UBF38" s="704"/>
      <c r="UBG38" s="704"/>
      <c r="UBH38" s="704"/>
      <c r="UBI38" s="704"/>
      <c r="UBJ38" s="704"/>
      <c r="UBK38" s="704"/>
      <c r="UBL38" s="704"/>
      <c r="UBM38" s="704"/>
      <c r="UBN38" s="704"/>
      <c r="UBO38" s="704"/>
      <c r="UBP38" s="704"/>
      <c r="UBQ38" s="704"/>
      <c r="UBR38" s="704"/>
      <c r="UBS38" s="704"/>
      <c r="UBT38" s="704"/>
      <c r="UBU38" s="704"/>
      <c r="UBV38" s="704"/>
      <c r="UBW38" s="704"/>
      <c r="UBX38" s="704"/>
      <c r="UBY38" s="704"/>
      <c r="UBZ38" s="704"/>
      <c r="UCA38" s="704"/>
      <c r="UCB38" s="704"/>
      <c r="UCC38" s="704"/>
      <c r="UCD38" s="704"/>
      <c r="UCE38" s="704"/>
      <c r="UCF38" s="704"/>
      <c r="UCG38" s="704"/>
      <c r="UCH38" s="704"/>
      <c r="UCI38" s="704"/>
      <c r="UCJ38" s="704"/>
      <c r="UCK38" s="704"/>
      <c r="UCL38" s="704"/>
      <c r="UCM38" s="704"/>
      <c r="UCN38" s="704"/>
      <c r="UCO38" s="704"/>
      <c r="UCP38" s="704"/>
      <c r="UCQ38" s="704"/>
      <c r="UCR38" s="704"/>
      <c r="UCS38" s="704"/>
      <c r="UCT38" s="704"/>
      <c r="UCU38" s="704"/>
      <c r="UCV38" s="704"/>
      <c r="UCW38" s="704"/>
      <c r="UCX38" s="704"/>
      <c r="UCY38" s="704"/>
      <c r="UCZ38" s="704"/>
      <c r="UDA38" s="704"/>
      <c r="UDB38" s="704"/>
      <c r="UDC38" s="704"/>
      <c r="UDD38" s="704"/>
      <c r="UDE38" s="704"/>
      <c r="UDF38" s="704"/>
      <c r="UDG38" s="704"/>
      <c r="UDH38" s="704"/>
      <c r="UDI38" s="704"/>
      <c r="UDJ38" s="704"/>
      <c r="UDK38" s="704"/>
      <c r="UDL38" s="704"/>
      <c r="UDM38" s="704"/>
      <c r="UDN38" s="704"/>
      <c r="UDO38" s="704"/>
      <c r="UDP38" s="704"/>
      <c r="UDQ38" s="704"/>
      <c r="UDR38" s="704"/>
      <c r="UDS38" s="704"/>
      <c r="UDT38" s="704"/>
      <c r="UDU38" s="704"/>
      <c r="UDV38" s="704"/>
      <c r="UDW38" s="704"/>
      <c r="UDX38" s="704"/>
      <c r="UDY38" s="704"/>
      <c r="UDZ38" s="704"/>
      <c r="UEA38" s="704"/>
      <c r="UEB38" s="704"/>
      <c r="UEC38" s="704"/>
      <c r="UED38" s="704"/>
      <c r="UEE38" s="704"/>
      <c r="UEF38" s="704"/>
      <c r="UEG38" s="704"/>
      <c r="UEH38" s="704"/>
      <c r="UEI38" s="704"/>
      <c r="UEJ38" s="704"/>
      <c r="UEK38" s="704"/>
      <c r="UEL38" s="704"/>
      <c r="UEM38" s="704"/>
      <c r="UEN38" s="704"/>
      <c r="UEO38" s="704"/>
      <c r="UEP38" s="704"/>
      <c r="UEQ38" s="704"/>
      <c r="UER38" s="704"/>
      <c r="UES38" s="704"/>
      <c r="UET38" s="704"/>
      <c r="UEU38" s="704"/>
      <c r="UEV38" s="704"/>
      <c r="UEW38" s="704"/>
      <c r="UEX38" s="704"/>
      <c r="UEY38" s="704"/>
      <c r="UEZ38" s="704"/>
      <c r="UFA38" s="704"/>
      <c r="UFB38" s="704"/>
      <c r="UFC38" s="704"/>
      <c r="UFD38" s="704"/>
      <c r="UFE38" s="704"/>
      <c r="UFF38" s="704"/>
      <c r="UFG38" s="704"/>
      <c r="UFH38" s="704"/>
      <c r="UFI38" s="704"/>
      <c r="UFJ38" s="704"/>
      <c r="UFK38" s="704"/>
      <c r="UFL38" s="704"/>
      <c r="UFM38" s="704"/>
      <c r="UFN38" s="704"/>
      <c r="UFO38" s="704"/>
      <c r="UFP38" s="704"/>
      <c r="UFQ38" s="704"/>
      <c r="UFR38" s="704"/>
      <c r="UFS38" s="704"/>
      <c r="UFT38" s="704"/>
      <c r="UFU38" s="704"/>
      <c r="UFV38" s="704"/>
      <c r="UFW38" s="704"/>
      <c r="UFX38" s="704"/>
      <c r="UFY38" s="704"/>
      <c r="UFZ38" s="704"/>
      <c r="UGA38" s="704"/>
      <c r="UGB38" s="704"/>
      <c r="UGC38" s="704"/>
      <c r="UGD38" s="704"/>
      <c r="UGE38" s="704"/>
      <c r="UGF38" s="704"/>
      <c r="UGG38" s="704"/>
      <c r="UGH38" s="704"/>
      <c r="UGI38" s="704"/>
      <c r="UGJ38" s="704"/>
      <c r="UGK38" s="704"/>
      <c r="UGL38" s="704"/>
      <c r="UGM38" s="704"/>
      <c r="UGN38" s="704"/>
      <c r="UGO38" s="704"/>
      <c r="UGP38" s="704"/>
      <c r="UGQ38" s="704"/>
      <c r="UGR38" s="704"/>
      <c r="UGS38" s="704"/>
      <c r="UGT38" s="704"/>
      <c r="UGU38" s="704"/>
      <c r="UGV38" s="704"/>
      <c r="UGW38" s="704"/>
      <c r="UGX38" s="704"/>
      <c r="UGY38" s="704"/>
      <c r="UGZ38" s="704"/>
      <c r="UHA38" s="704"/>
      <c r="UHB38" s="704"/>
      <c r="UHC38" s="704"/>
      <c r="UHD38" s="704"/>
      <c r="UHE38" s="704"/>
      <c r="UHF38" s="704"/>
      <c r="UHG38" s="704"/>
      <c r="UHH38" s="704"/>
      <c r="UHI38" s="704"/>
      <c r="UHJ38" s="704"/>
      <c r="UHK38" s="704"/>
      <c r="UHL38" s="704"/>
      <c r="UHM38" s="704"/>
      <c r="UHN38" s="704"/>
      <c r="UHO38" s="704"/>
      <c r="UHP38" s="704"/>
      <c r="UHQ38" s="704"/>
      <c r="UHR38" s="704"/>
      <c r="UHS38" s="704"/>
      <c r="UHT38" s="704"/>
      <c r="UHU38" s="704"/>
      <c r="UHV38" s="704"/>
      <c r="UHW38" s="704"/>
      <c r="UHX38" s="704"/>
      <c r="UHY38" s="704"/>
      <c r="UHZ38" s="704"/>
      <c r="UIA38" s="704"/>
      <c r="UIB38" s="704"/>
      <c r="UIC38" s="704"/>
      <c r="UID38" s="704"/>
      <c r="UIE38" s="704"/>
      <c r="UIF38" s="704"/>
      <c r="UIG38" s="704"/>
      <c r="UIH38" s="704"/>
      <c r="UII38" s="704"/>
      <c r="UIJ38" s="704"/>
      <c r="UIK38" s="704"/>
      <c r="UIL38" s="704"/>
      <c r="UIM38" s="704"/>
      <c r="UIN38" s="704"/>
      <c r="UIO38" s="704"/>
      <c r="UIP38" s="704"/>
      <c r="UIQ38" s="704"/>
      <c r="UIR38" s="704"/>
      <c r="UIS38" s="704"/>
      <c r="UIT38" s="704"/>
      <c r="UIU38" s="704"/>
      <c r="UIV38" s="704"/>
      <c r="UIW38" s="704"/>
      <c r="UIX38" s="704"/>
      <c r="UIY38" s="704"/>
      <c r="UIZ38" s="704"/>
      <c r="UJA38" s="704"/>
      <c r="UJB38" s="704"/>
      <c r="UJC38" s="704"/>
      <c r="UJD38" s="704"/>
      <c r="UJE38" s="704"/>
      <c r="UJF38" s="704"/>
      <c r="UJG38" s="704"/>
      <c r="UJH38" s="704"/>
      <c r="UJI38" s="704"/>
      <c r="UJJ38" s="704"/>
      <c r="UJK38" s="704"/>
      <c r="UJL38" s="704"/>
      <c r="UJM38" s="704"/>
      <c r="UJN38" s="704"/>
      <c r="UJO38" s="704"/>
      <c r="UJP38" s="704"/>
      <c r="UJQ38" s="704"/>
      <c r="UJR38" s="704"/>
      <c r="UJS38" s="704"/>
      <c r="UJT38" s="704"/>
      <c r="UJU38" s="704"/>
      <c r="UJV38" s="704"/>
      <c r="UJW38" s="704"/>
      <c r="UJX38" s="704"/>
      <c r="UJY38" s="704"/>
      <c r="UJZ38" s="704"/>
      <c r="UKA38" s="704"/>
      <c r="UKB38" s="704"/>
      <c r="UKC38" s="704"/>
      <c r="UKD38" s="704"/>
      <c r="UKE38" s="704"/>
      <c r="UKF38" s="704"/>
      <c r="UKG38" s="704"/>
      <c r="UKH38" s="704"/>
      <c r="UKI38" s="704"/>
      <c r="UKJ38" s="704"/>
      <c r="UKK38" s="704"/>
      <c r="UKL38" s="704"/>
      <c r="UKM38" s="704"/>
      <c r="UKN38" s="704"/>
      <c r="UKO38" s="704"/>
      <c r="UKP38" s="704"/>
      <c r="UKQ38" s="704"/>
      <c r="UKR38" s="704"/>
      <c r="UKS38" s="704"/>
      <c r="UKT38" s="704"/>
      <c r="UKU38" s="704"/>
      <c r="UKV38" s="704"/>
      <c r="UKW38" s="704"/>
      <c r="UKX38" s="704"/>
      <c r="UKY38" s="704"/>
      <c r="UKZ38" s="704"/>
      <c r="ULA38" s="704"/>
      <c r="ULB38" s="704"/>
      <c r="ULC38" s="704"/>
      <c r="ULD38" s="704"/>
      <c r="ULE38" s="704"/>
      <c r="ULF38" s="704"/>
      <c r="ULG38" s="704"/>
      <c r="ULH38" s="704"/>
      <c r="ULI38" s="704"/>
      <c r="ULJ38" s="704"/>
      <c r="ULK38" s="704"/>
      <c r="ULL38" s="704"/>
      <c r="ULM38" s="704"/>
      <c r="ULN38" s="704"/>
      <c r="ULO38" s="704"/>
      <c r="ULP38" s="704"/>
      <c r="ULQ38" s="704"/>
      <c r="ULR38" s="704"/>
      <c r="ULS38" s="704"/>
      <c r="ULT38" s="704"/>
      <c r="ULU38" s="704"/>
      <c r="ULV38" s="704"/>
      <c r="ULW38" s="704"/>
      <c r="ULX38" s="704"/>
      <c r="ULY38" s="704"/>
      <c r="ULZ38" s="704"/>
      <c r="UMA38" s="704"/>
      <c r="UMB38" s="704"/>
      <c r="UMC38" s="704"/>
      <c r="UMD38" s="704"/>
      <c r="UME38" s="704"/>
      <c r="UMF38" s="704"/>
      <c r="UMG38" s="704"/>
      <c r="UMH38" s="704"/>
      <c r="UMI38" s="704"/>
      <c r="UMJ38" s="704"/>
      <c r="UMK38" s="704"/>
      <c r="UML38" s="704"/>
      <c r="UMM38" s="704"/>
      <c r="UMN38" s="704"/>
      <c r="UMO38" s="704"/>
      <c r="UMP38" s="704"/>
      <c r="UMQ38" s="704"/>
      <c r="UMR38" s="704"/>
      <c r="UMS38" s="704"/>
      <c r="UMT38" s="704"/>
      <c r="UMU38" s="704"/>
      <c r="UMV38" s="704"/>
      <c r="UMW38" s="704"/>
      <c r="UMX38" s="704"/>
      <c r="UMY38" s="704"/>
      <c r="UMZ38" s="704"/>
      <c r="UNA38" s="704"/>
      <c r="UNB38" s="704"/>
      <c r="UNC38" s="704"/>
      <c r="UND38" s="704"/>
      <c r="UNE38" s="704"/>
      <c r="UNF38" s="704"/>
      <c r="UNG38" s="704"/>
      <c r="UNH38" s="704"/>
      <c r="UNI38" s="704"/>
      <c r="UNJ38" s="704"/>
      <c r="UNK38" s="704"/>
      <c r="UNL38" s="704"/>
      <c r="UNM38" s="704"/>
      <c r="UNN38" s="704"/>
      <c r="UNO38" s="704"/>
      <c r="UNP38" s="704"/>
      <c r="UNQ38" s="704"/>
      <c r="UNR38" s="704"/>
      <c r="UNS38" s="704"/>
      <c r="UNT38" s="704"/>
      <c r="UNU38" s="704"/>
      <c r="UNV38" s="704"/>
      <c r="UNW38" s="704"/>
      <c r="UNX38" s="704"/>
      <c r="UNY38" s="704"/>
      <c r="UNZ38" s="704"/>
      <c r="UOA38" s="704"/>
      <c r="UOB38" s="704"/>
      <c r="UOC38" s="704"/>
      <c r="UOD38" s="704"/>
      <c r="UOE38" s="704"/>
      <c r="UOF38" s="704"/>
      <c r="UOG38" s="704"/>
      <c r="UOH38" s="704"/>
      <c r="UOI38" s="704"/>
      <c r="UOJ38" s="704"/>
      <c r="UOK38" s="704"/>
      <c r="UOL38" s="704"/>
      <c r="UOM38" s="704"/>
      <c r="UON38" s="704"/>
      <c r="UOO38" s="704"/>
      <c r="UOP38" s="704"/>
      <c r="UOQ38" s="704"/>
      <c r="UOR38" s="704"/>
      <c r="UOS38" s="704"/>
      <c r="UOT38" s="704"/>
      <c r="UOU38" s="704"/>
      <c r="UOV38" s="704"/>
      <c r="UOW38" s="704"/>
      <c r="UOX38" s="704"/>
      <c r="UOY38" s="704"/>
      <c r="UOZ38" s="704"/>
      <c r="UPA38" s="704"/>
      <c r="UPB38" s="704"/>
      <c r="UPC38" s="704"/>
      <c r="UPD38" s="704"/>
      <c r="UPE38" s="704"/>
      <c r="UPF38" s="704"/>
      <c r="UPG38" s="704"/>
      <c r="UPH38" s="704"/>
      <c r="UPI38" s="704"/>
      <c r="UPJ38" s="704"/>
      <c r="UPK38" s="704"/>
      <c r="UPL38" s="704"/>
      <c r="UPM38" s="704"/>
      <c r="UPN38" s="704"/>
      <c r="UPO38" s="704"/>
      <c r="UPP38" s="704"/>
      <c r="UPQ38" s="704"/>
      <c r="UPR38" s="704"/>
      <c r="UPS38" s="704"/>
      <c r="UPT38" s="704"/>
      <c r="UPU38" s="704"/>
      <c r="UPV38" s="704"/>
      <c r="UPW38" s="704"/>
      <c r="UPX38" s="704"/>
      <c r="UPY38" s="704"/>
      <c r="UPZ38" s="704"/>
      <c r="UQA38" s="704"/>
      <c r="UQB38" s="704"/>
      <c r="UQC38" s="704"/>
      <c r="UQD38" s="704"/>
      <c r="UQE38" s="704"/>
      <c r="UQF38" s="704"/>
      <c r="UQG38" s="704"/>
      <c r="UQH38" s="704"/>
      <c r="UQI38" s="704"/>
      <c r="UQJ38" s="704"/>
      <c r="UQK38" s="704"/>
      <c r="UQL38" s="704"/>
      <c r="UQM38" s="704"/>
      <c r="UQN38" s="704"/>
      <c r="UQO38" s="704"/>
      <c r="UQP38" s="704"/>
      <c r="UQQ38" s="704"/>
      <c r="UQR38" s="704"/>
      <c r="UQS38" s="704"/>
      <c r="UQT38" s="704"/>
      <c r="UQU38" s="704"/>
      <c r="UQV38" s="704"/>
      <c r="UQW38" s="704"/>
      <c r="UQX38" s="704"/>
      <c r="UQY38" s="704"/>
      <c r="UQZ38" s="704"/>
      <c r="URA38" s="704"/>
      <c r="URB38" s="704"/>
      <c r="URC38" s="704"/>
      <c r="URD38" s="704"/>
      <c r="URE38" s="704"/>
      <c r="URF38" s="704"/>
      <c r="URG38" s="704"/>
      <c r="URH38" s="704"/>
      <c r="URI38" s="704"/>
      <c r="URJ38" s="704"/>
      <c r="URK38" s="704"/>
      <c r="URL38" s="704"/>
      <c r="URM38" s="704"/>
      <c r="URN38" s="704"/>
      <c r="URO38" s="704"/>
      <c r="URP38" s="704"/>
      <c r="URQ38" s="704"/>
      <c r="URR38" s="704"/>
      <c r="URS38" s="704"/>
      <c r="URT38" s="704"/>
      <c r="URU38" s="704"/>
      <c r="URV38" s="704"/>
      <c r="URW38" s="704"/>
      <c r="URX38" s="704"/>
      <c r="URY38" s="704"/>
      <c r="URZ38" s="704"/>
      <c r="USA38" s="704"/>
      <c r="USB38" s="704"/>
      <c r="USC38" s="704"/>
      <c r="USD38" s="704"/>
      <c r="USE38" s="704"/>
      <c r="USF38" s="704"/>
      <c r="USG38" s="704"/>
      <c r="USH38" s="704"/>
      <c r="USI38" s="704"/>
      <c r="USJ38" s="704"/>
      <c r="USK38" s="704"/>
      <c r="USL38" s="704"/>
      <c r="USM38" s="704"/>
      <c r="USN38" s="704"/>
      <c r="USO38" s="704"/>
      <c r="USP38" s="704"/>
      <c r="USQ38" s="704"/>
      <c r="USR38" s="704"/>
      <c r="USS38" s="704"/>
      <c r="UST38" s="704"/>
      <c r="USU38" s="704"/>
      <c r="USV38" s="704"/>
      <c r="USW38" s="704"/>
      <c r="USX38" s="704"/>
      <c r="USY38" s="704"/>
      <c r="USZ38" s="704"/>
      <c r="UTA38" s="704"/>
      <c r="UTB38" s="704"/>
      <c r="UTC38" s="704"/>
      <c r="UTD38" s="704"/>
      <c r="UTE38" s="704"/>
      <c r="UTF38" s="704"/>
      <c r="UTG38" s="704"/>
      <c r="UTH38" s="704"/>
      <c r="UTI38" s="704"/>
      <c r="UTJ38" s="704"/>
      <c r="UTK38" s="704"/>
      <c r="UTL38" s="704"/>
      <c r="UTM38" s="704"/>
      <c r="UTN38" s="704"/>
      <c r="UTO38" s="704"/>
      <c r="UTP38" s="704"/>
      <c r="UTQ38" s="704"/>
      <c r="UTR38" s="704"/>
      <c r="UTS38" s="704"/>
      <c r="UTT38" s="704"/>
      <c r="UTU38" s="704"/>
      <c r="UTV38" s="704"/>
      <c r="UTW38" s="704"/>
      <c r="UTX38" s="704"/>
      <c r="UTY38" s="704"/>
      <c r="UTZ38" s="704"/>
      <c r="UUA38" s="704"/>
      <c r="UUB38" s="704"/>
      <c r="UUC38" s="704"/>
      <c r="UUD38" s="704"/>
      <c r="UUE38" s="704"/>
      <c r="UUF38" s="704"/>
      <c r="UUG38" s="704"/>
      <c r="UUH38" s="704"/>
      <c r="UUI38" s="704"/>
      <c r="UUJ38" s="704"/>
      <c r="UUK38" s="704"/>
      <c r="UUL38" s="704"/>
      <c r="UUM38" s="704"/>
      <c r="UUN38" s="704"/>
      <c r="UUO38" s="704"/>
      <c r="UUP38" s="704"/>
      <c r="UUQ38" s="704"/>
      <c r="UUR38" s="704"/>
      <c r="UUS38" s="704"/>
      <c r="UUT38" s="704"/>
      <c r="UUU38" s="704"/>
      <c r="UUV38" s="704"/>
      <c r="UUW38" s="704"/>
      <c r="UUX38" s="704"/>
      <c r="UUY38" s="704"/>
      <c r="UUZ38" s="704"/>
      <c r="UVA38" s="704"/>
      <c r="UVB38" s="704"/>
      <c r="UVC38" s="704"/>
      <c r="UVD38" s="704"/>
      <c r="UVE38" s="704"/>
      <c r="UVF38" s="704"/>
      <c r="UVG38" s="704"/>
      <c r="UVH38" s="704"/>
      <c r="UVI38" s="704"/>
      <c r="UVJ38" s="704"/>
      <c r="UVK38" s="704"/>
      <c r="UVL38" s="704"/>
      <c r="UVM38" s="704"/>
      <c r="UVN38" s="704"/>
      <c r="UVO38" s="704"/>
      <c r="UVP38" s="704"/>
      <c r="UVQ38" s="704"/>
      <c r="UVR38" s="704"/>
      <c r="UVS38" s="704"/>
      <c r="UVT38" s="704"/>
      <c r="UVU38" s="704"/>
      <c r="UVV38" s="704"/>
      <c r="UVW38" s="704"/>
      <c r="UVX38" s="704"/>
      <c r="UVY38" s="704"/>
      <c r="UVZ38" s="704"/>
      <c r="UWA38" s="704"/>
      <c r="UWB38" s="704"/>
      <c r="UWC38" s="704"/>
      <c r="UWD38" s="704"/>
      <c r="UWE38" s="704"/>
      <c r="UWF38" s="704"/>
      <c r="UWG38" s="704"/>
      <c r="UWH38" s="704"/>
      <c r="UWI38" s="704"/>
      <c r="UWJ38" s="704"/>
      <c r="UWK38" s="704"/>
      <c r="UWL38" s="704"/>
      <c r="UWM38" s="704"/>
      <c r="UWN38" s="704"/>
      <c r="UWO38" s="704"/>
      <c r="UWP38" s="704"/>
      <c r="UWQ38" s="704"/>
      <c r="UWR38" s="704"/>
      <c r="UWS38" s="704"/>
      <c r="UWT38" s="704"/>
      <c r="UWU38" s="704"/>
      <c r="UWV38" s="704"/>
      <c r="UWW38" s="704"/>
      <c r="UWX38" s="704"/>
      <c r="UWY38" s="704"/>
      <c r="UWZ38" s="704"/>
      <c r="UXA38" s="704"/>
      <c r="UXB38" s="704"/>
      <c r="UXC38" s="704"/>
      <c r="UXD38" s="704"/>
      <c r="UXE38" s="704"/>
      <c r="UXF38" s="704"/>
      <c r="UXG38" s="704"/>
      <c r="UXH38" s="704"/>
      <c r="UXI38" s="704"/>
      <c r="UXJ38" s="704"/>
      <c r="UXK38" s="704"/>
      <c r="UXL38" s="704"/>
      <c r="UXM38" s="704"/>
      <c r="UXN38" s="704"/>
      <c r="UXO38" s="704"/>
      <c r="UXP38" s="704"/>
      <c r="UXQ38" s="704"/>
      <c r="UXR38" s="704"/>
      <c r="UXS38" s="704"/>
      <c r="UXT38" s="704"/>
      <c r="UXU38" s="704"/>
      <c r="UXV38" s="704"/>
      <c r="UXW38" s="704"/>
      <c r="UXX38" s="704"/>
      <c r="UXY38" s="704"/>
      <c r="UXZ38" s="704"/>
      <c r="UYA38" s="704"/>
      <c r="UYB38" s="704"/>
      <c r="UYC38" s="704"/>
      <c r="UYD38" s="704"/>
      <c r="UYE38" s="704"/>
      <c r="UYF38" s="704"/>
      <c r="UYG38" s="704"/>
      <c r="UYH38" s="704"/>
      <c r="UYI38" s="704"/>
      <c r="UYJ38" s="704"/>
      <c r="UYK38" s="704"/>
      <c r="UYL38" s="704"/>
      <c r="UYM38" s="704"/>
      <c r="UYN38" s="704"/>
      <c r="UYO38" s="704"/>
      <c r="UYP38" s="704"/>
      <c r="UYQ38" s="704"/>
      <c r="UYR38" s="704"/>
      <c r="UYS38" s="704"/>
      <c r="UYT38" s="704"/>
      <c r="UYU38" s="704"/>
      <c r="UYV38" s="704"/>
      <c r="UYW38" s="704"/>
      <c r="UYX38" s="704"/>
      <c r="UYY38" s="704"/>
      <c r="UYZ38" s="704"/>
      <c r="UZA38" s="704"/>
      <c r="UZB38" s="704"/>
      <c r="UZC38" s="704"/>
      <c r="UZD38" s="704"/>
      <c r="UZE38" s="704"/>
      <c r="UZF38" s="704"/>
      <c r="UZG38" s="704"/>
      <c r="UZH38" s="704"/>
      <c r="UZI38" s="704"/>
      <c r="UZJ38" s="704"/>
      <c r="UZK38" s="704"/>
      <c r="UZL38" s="704"/>
      <c r="UZM38" s="704"/>
      <c r="UZN38" s="704"/>
      <c r="UZO38" s="704"/>
      <c r="UZP38" s="704"/>
      <c r="UZQ38" s="704"/>
      <c r="UZR38" s="704"/>
      <c r="UZS38" s="704"/>
      <c r="UZT38" s="704"/>
      <c r="UZU38" s="704"/>
      <c r="UZV38" s="704"/>
      <c r="UZW38" s="704"/>
      <c r="UZX38" s="704"/>
      <c r="UZY38" s="704"/>
      <c r="UZZ38" s="704"/>
      <c r="VAA38" s="704"/>
      <c r="VAB38" s="704"/>
      <c r="VAC38" s="704"/>
      <c r="VAD38" s="704"/>
      <c r="VAE38" s="704"/>
      <c r="VAF38" s="704"/>
      <c r="VAG38" s="704"/>
      <c r="VAH38" s="704"/>
      <c r="VAI38" s="704"/>
      <c r="VAJ38" s="704"/>
      <c r="VAK38" s="704"/>
      <c r="VAL38" s="704"/>
      <c r="VAM38" s="704"/>
      <c r="VAN38" s="704"/>
      <c r="VAO38" s="704"/>
      <c r="VAP38" s="704"/>
      <c r="VAQ38" s="704"/>
      <c r="VAR38" s="704"/>
      <c r="VAS38" s="704"/>
      <c r="VAT38" s="704"/>
      <c r="VAU38" s="704"/>
      <c r="VAV38" s="704"/>
      <c r="VAW38" s="704"/>
      <c r="VAX38" s="704"/>
      <c r="VAY38" s="704"/>
      <c r="VAZ38" s="704"/>
      <c r="VBA38" s="704"/>
      <c r="VBB38" s="704"/>
      <c r="VBC38" s="704"/>
      <c r="VBD38" s="704"/>
      <c r="VBE38" s="704"/>
      <c r="VBF38" s="704"/>
      <c r="VBG38" s="704"/>
      <c r="VBH38" s="704"/>
      <c r="VBI38" s="704"/>
      <c r="VBJ38" s="704"/>
      <c r="VBK38" s="704"/>
      <c r="VBL38" s="704"/>
      <c r="VBM38" s="704"/>
      <c r="VBN38" s="704"/>
      <c r="VBO38" s="704"/>
      <c r="VBP38" s="704"/>
      <c r="VBQ38" s="704"/>
      <c r="VBR38" s="704"/>
      <c r="VBS38" s="704"/>
      <c r="VBT38" s="704"/>
      <c r="VBU38" s="704"/>
      <c r="VBV38" s="704"/>
      <c r="VBW38" s="704"/>
      <c r="VBX38" s="704"/>
      <c r="VBY38" s="704"/>
      <c r="VBZ38" s="704"/>
      <c r="VCA38" s="704"/>
      <c r="VCB38" s="704"/>
      <c r="VCC38" s="704"/>
      <c r="VCD38" s="704"/>
      <c r="VCE38" s="704"/>
      <c r="VCF38" s="704"/>
      <c r="VCG38" s="704"/>
      <c r="VCH38" s="704"/>
      <c r="VCI38" s="704"/>
      <c r="VCJ38" s="704"/>
      <c r="VCK38" s="704"/>
      <c r="VCL38" s="704"/>
      <c r="VCM38" s="704"/>
      <c r="VCN38" s="704"/>
      <c r="VCO38" s="704"/>
      <c r="VCP38" s="704"/>
      <c r="VCQ38" s="704"/>
      <c r="VCR38" s="704"/>
      <c r="VCS38" s="704"/>
      <c r="VCT38" s="704"/>
      <c r="VCU38" s="704"/>
      <c r="VCV38" s="704"/>
      <c r="VCW38" s="704"/>
      <c r="VCX38" s="704"/>
      <c r="VCY38" s="704"/>
      <c r="VCZ38" s="704"/>
      <c r="VDA38" s="704"/>
      <c r="VDB38" s="704"/>
      <c r="VDC38" s="704"/>
      <c r="VDD38" s="704"/>
      <c r="VDE38" s="704"/>
      <c r="VDF38" s="704"/>
      <c r="VDG38" s="704"/>
      <c r="VDH38" s="704"/>
      <c r="VDI38" s="704"/>
      <c r="VDJ38" s="704"/>
      <c r="VDK38" s="704"/>
      <c r="VDL38" s="704"/>
      <c r="VDM38" s="704"/>
      <c r="VDN38" s="704"/>
      <c r="VDO38" s="704"/>
      <c r="VDP38" s="704"/>
      <c r="VDQ38" s="704"/>
      <c r="VDR38" s="704"/>
      <c r="VDS38" s="704"/>
      <c r="VDT38" s="704"/>
      <c r="VDU38" s="704"/>
      <c r="VDV38" s="704"/>
      <c r="VDW38" s="704"/>
      <c r="VDX38" s="704"/>
      <c r="VDY38" s="704"/>
      <c r="VDZ38" s="704"/>
      <c r="VEA38" s="704"/>
      <c r="VEB38" s="704"/>
      <c r="VEC38" s="704"/>
      <c r="VED38" s="704"/>
      <c r="VEE38" s="704"/>
      <c r="VEF38" s="704"/>
      <c r="VEG38" s="704"/>
      <c r="VEH38" s="704"/>
      <c r="VEI38" s="704"/>
      <c r="VEJ38" s="704"/>
      <c r="VEK38" s="704"/>
      <c r="VEL38" s="704"/>
      <c r="VEM38" s="704"/>
      <c r="VEN38" s="704"/>
      <c r="VEO38" s="704"/>
      <c r="VEP38" s="704"/>
      <c r="VEQ38" s="704"/>
      <c r="VER38" s="704"/>
      <c r="VES38" s="704"/>
      <c r="VET38" s="704"/>
      <c r="VEU38" s="704"/>
      <c r="VEV38" s="704"/>
      <c r="VEW38" s="704"/>
      <c r="VEX38" s="704"/>
      <c r="VEY38" s="704"/>
      <c r="VEZ38" s="704"/>
      <c r="VFA38" s="704"/>
      <c r="VFB38" s="704"/>
      <c r="VFC38" s="704"/>
      <c r="VFD38" s="704"/>
      <c r="VFE38" s="704"/>
      <c r="VFF38" s="704"/>
      <c r="VFG38" s="704"/>
      <c r="VFH38" s="704"/>
      <c r="VFI38" s="704"/>
      <c r="VFJ38" s="704"/>
      <c r="VFK38" s="704"/>
      <c r="VFL38" s="704"/>
      <c r="VFM38" s="704"/>
      <c r="VFN38" s="704"/>
      <c r="VFO38" s="704"/>
      <c r="VFP38" s="704"/>
      <c r="VFQ38" s="704"/>
      <c r="VFR38" s="704"/>
      <c r="VFS38" s="704"/>
      <c r="VFT38" s="704"/>
      <c r="VFU38" s="704"/>
      <c r="VFV38" s="704"/>
      <c r="VFW38" s="704"/>
      <c r="VFX38" s="704"/>
      <c r="VFY38" s="704"/>
      <c r="VFZ38" s="704"/>
      <c r="VGA38" s="704"/>
      <c r="VGB38" s="704"/>
      <c r="VGC38" s="704"/>
      <c r="VGD38" s="704"/>
      <c r="VGE38" s="704"/>
      <c r="VGF38" s="704"/>
      <c r="VGG38" s="704"/>
      <c r="VGH38" s="704"/>
      <c r="VGI38" s="704"/>
      <c r="VGJ38" s="704"/>
      <c r="VGK38" s="704"/>
      <c r="VGL38" s="704"/>
      <c r="VGM38" s="704"/>
      <c r="VGN38" s="704"/>
      <c r="VGO38" s="704"/>
      <c r="VGP38" s="704"/>
      <c r="VGQ38" s="704"/>
      <c r="VGR38" s="704"/>
      <c r="VGS38" s="704"/>
      <c r="VGT38" s="704"/>
      <c r="VGU38" s="704"/>
      <c r="VGV38" s="704"/>
      <c r="VGW38" s="704"/>
      <c r="VGX38" s="704"/>
      <c r="VGY38" s="704"/>
      <c r="VGZ38" s="704"/>
      <c r="VHA38" s="704"/>
      <c r="VHB38" s="704"/>
      <c r="VHC38" s="704"/>
      <c r="VHD38" s="704"/>
      <c r="VHE38" s="704"/>
      <c r="VHF38" s="704"/>
      <c r="VHG38" s="704"/>
      <c r="VHH38" s="704"/>
      <c r="VHI38" s="704"/>
      <c r="VHJ38" s="704"/>
      <c r="VHK38" s="704"/>
      <c r="VHL38" s="704"/>
      <c r="VHM38" s="704"/>
      <c r="VHN38" s="704"/>
      <c r="VHO38" s="704"/>
      <c r="VHP38" s="704"/>
      <c r="VHQ38" s="704"/>
      <c r="VHR38" s="704"/>
      <c r="VHS38" s="704"/>
      <c r="VHT38" s="704"/>
      <c r="VHU38" s="704"/>
      <c r="VHV38" s="704"/>
      <c r="VHW38" s="704"/>
      <c r="VHX38" s="704"/>
      <c r="VHY38" s="704"/>
      <c r="VHZ38" s="704"/>
      <c r="VIA38" s="704"/>
      <c r="VIB38" s="704"/>
      <c r="VIC38" s="704"/>
      <c r="VID38" s="704"/>
      <c r="VIE38" s="704"/>
      <c r="VIF38" s="704"/>
      <c r="VIG38" s="704"/>
      <c r="VIH38" s="704"/>
      <c r="VII38" s="704"/>
      <c r="VIJ38" s="704"/>
      <c r="VIK38" s="704"/>
      <c r="VIL38" s="704"/>
      <c r="VIM38" s="704"/>
      <c r="VIN38" s="704"/>
      <c r="VIO38" s="704"/>
      <c r="VIP38" s="704"/>
      <c r="VIQ38" s="704"/>
      <c r="VIR38" s="704"/>
      <c r="VIS38" s="704"/>
      <c r="VIT38" s="704"/>
      <c r="VIU38" s="704"/>
      <c r="VIV38" s="704"/>
      <c r="VIW38" s="704"/>
      <c r="VIX38" s="704"/>
      <c r="VIY38" s="704"/>
      <c r="VIZ38" s="704"/>
      <c r="VJA38" s="704"/>
      <c r="VJB38" s="704"/>
      <c r="VJC38" s="704"/>
      <c r="VJD38" s="704"/>
      <c r="VJE38" s="704"/>
      <c r="VJF38" s="704"/>
      <c r="VJG38" s="704"/>
      <c r="VJH38" s="704"/>
      <c r="VJI38" s="704"/>
      <c r="VJJ38" s="704"/>
      <c r="VJK38" s="704"/>
      <c r="VJL38" s="704"/>
      <c r="VJM38" s="704"/>
      <c r="VJN38" s="704"/>
      <c r="VJO38" s="704"/>
      <c r="VJP38" s="704"/>
      <c r="VJQ38" s="704"/>
      <c r="VJR38" s="704"/>
      <c r="VJS38" s="704"/>
      <c r="VJT38" s="704"/>
      <c r="VJU38" s="704"/>
      <c r="VJV38" s="704"/>
      <c r="VJW38" s="704"/>
      <c r="VJX38" s="704"/>
      <c r="VJY38" s="704"/>
      <c r="VJZ38" s="704"/>
      <c r="VKA38" s="704"/>
      <c r="VKB38" s="704"/>
      <c r="VKC38" s="704"/>
      <c r="VKD38" s="704"/>
      <c r="VKE38" s="704"/>
      <c r="VKF38" s="704"/>
      <c r="VKG38" s="704"/>
      <c r="VKH38" s="704"/>
      <c r="VKI38" s="704"/>
      <c r="VKJ38" s="704"/>
      <c r="VKK38" s="704"/>
      <c r="VKL38" s="704"/>
      <c r="VKM38" s="704"/>
      <c r="VKN38" s="704"/>
      <c r="VKO38" s="704"/>
      <c r="VKP38" s="704"/>
      <c r="VKQ38" s="704"/>
      <c r="VKR38" s="704"/>
      <c r="VKS38" s="704"/>
      <c r="VKT38" s="704"/>
      <c r="VKU38" s="704"/>
      <c r="VKV38" s="704"/>
      <c r="VKW38" s="704"/>
      <c r="VKX38" s="704"/>
      <c r="VKY38" s="704"/>
      <c r="VKZ38" s="704"/>
      <c r="VLA38" s="704"/>
      <c r="VLB38" s="704"/>
      <c r="VLC38" s="704"/>
      <c r="VLD38" s="704"/>
      <c r="VLE38" s="704"/>
      <c r="VLF38" s="704"/>
      <c r="VLG38" s="704"/>
      <c r="VLH38" s="704"/>
      <c r="VLI38" s="704"/>
      <c r="VLJ38" s="704"/>
      <c r="VLK38" s="704"/>
      <c r="VLL38" s="704"/>
      <c r="VLM38" s="704"/>
      <c r="VLN38" s="704"/>
      <c r="VLO38" s="704"/>
      <c r="VLP38" s="704"/>
      <c r="VLQ38" s="704"/>
      <c r="VLR38" s="704"/>
      <c r="VLS38" s="704"/>
      <c r="VLT38" s="704"/>
      <c r="VLU38" s="704"/>
      <c r="VLV38" s="704"/>
      <c r="VLW38" s="704"/>
      <c r="VLX38" s="704"/>
      <c r="VLY38" s="704"/>
      <c r="VLZ38" s="704"/>
      <c r="VMA38" s="704"/>
      <c r="VMB38" s="704"/>
      <c r="VMC38" s="704"/>
      <c r="VMD38" s="704"/>
      <c r="VME38" s="704"/>
      <c r="VMF38" s="704"/>
      <c r="VMG38" s="704"/>
      <c r="VMH38" s="704"/>
      <c r="VMI38" s="704"/>
      <c r="VMJ38" s="704"/>
      <c r="VMK38" s="704"/>
      <c r="VML38" s="704"/>
      <c r="VMM38" s="704"/>
      <c r="VMN38" s="704"/>
      <c r="VMO38" s="704"/>
      <c r="VMP38" s="704"/>
      <c r="VMQ38" s="704"/>
      <c r="VMR38" s="704"/>
      <c r="VMS38" s="704"/>
      <c r="VMT38" s="704"/>
      <c r="VMU38" s="704"/>
      <c r="VMV38" s="704"/>
      <c r="VMW38" s="704"/>
      <c r="VMX38" s="704"/>
      <c r="VMY38" s="704"/>
      <c r="VMZ38" s="704"/>
      <c r="VNA38" s="704"/>
      <c r="VNB38" s="704"/>
      <c r="VNC38" s="704"/>
      <c r="VND38" s="704"/>
      <c r="VNE38" s="704"/>
      <c r="VNF38" s="704"/>
      <c r="VNG38" s="704"/>
      <c r="VNH38" s="704"/>
      <c r="VNI38" s="704"/>
      <c r="VNJ38" s="704"/>
      <c r="VNK38" s="704"/>
      <c r="VNL38" s="704"/>
      <c r="VNM38" s="704"/>
      <c r="VNN38" s="704"/>
      <c r="VNO38" s="704"/>
      <c r="VNP38" s="704"/>
      <c r="VNQ38" s="704"/>
      <c r="VNR38" s="704"/>
      <c r="VNS38" s="704"/>
      <c r="VNT38" s="704"/>
      <c r="VNU38" s="704"/>
      <c r="VNV38" s="704"/>
      <c r="VNW38" s="704"/>
      <c r="VNX38" s="704"/>
      <c r="VNY38" s="704"/>
      <c r="VNZ38" s="704"/>
      <c r="VOA38" s="704"/>
      <c r="VOB38" s="704"/>
      <c r="VOC38" s="704"/>
      <c r="VOD38" s="704"/>
      <c r="VOE38" s="704"/>
      <c r="VOF38" s="704"/>
      <c r="VOG38" s="704"/>
      <c r="VOH38" s="704"/>
      <c r="VOI38" s="704"/>
      <c r="VOJ38" s="704"/>
      <c r="VOK38" s="704"/>
      <c r="VOL38" s="704"/>
      <c r="VOM38" s="704"/>
      <c r="VON38" s="704"/>
      <c r="VOO38" s="704"/>
      <c r="VOP38" s="704"/>
      <c r="VOQ38" s="704"/>
      <c r="VOR38" s="704"/>
      <c r="VOS38" s="704"/>
      <c r="VOT38" s="704"/>
      <c r="VOU38" s="704"/>
      <c r="VOV38" s="704"/>
      <c r="VOW38" s="704"/>
      <c r="VOX38" s="704"/>
      <c r="VOY38" s="704"/>
      <c r="VOZ38" s="704"/>
      <c r="VPA38" s="704"/>
      <c r="VPB38" s="704"/>
      <c r="VPC38" s="704"/>
      <c r="VPD38" s="704"/>
      <c r="VPE38" s="704"/>
      <c r="VPF38" s="704"/>
      <c r="VPG38" s="704"/>
      <c r="VPH38" s="704"/>
      <c r="VPI38" s="704"/>
      <c r="VPJ38" s="704"/>
      <c r="VPK38" s="704"/>
      <c r="VPL38" s="704"/>
      <c r="VPM38" s="704"/>
      <c r="VPN38" s="704"/>
      <c r="VPO38" s="704"/>
      <c r="VPP38" s="704"/>
      <c r="VPQ38" s="704"/>
      <c r="VPR38" s="704"/>
      <c r="VPS38" s="704"/>
      <c r="VPT38" s="704"/>
      <c r="VPU38" s="704"/>
      <c r="VPV38" s="704"/>
      <c r="VPW38" s="704"/>
      <c r="VPX38" s="704"/>
      <c r="VPY38" s="704"/>
      <c r="VPZ38" s="704"/>
      <c r="VQA38" s="704"/>
      <c r="VQB38" s="704"/>
      <c r="VQC38" s="704"/>
      <c r="VQD38" s="704"/>
      <c r="VQE38" s="704"/>
      <c r="VQF38" s="704"/>
      <c r="VQG38" s="704"/>
      <c r="VQH38" s="704"/>
      <c r="VQI38" s="704"/>
      <c r="VQJ38" s="704"/>
      <c r="VQK38" s="704"/>
      <c r="VQL38" s="704"/>
      <c r="VQM38" s="704"/>
      <c r="VQN38" s="704"/>
      <c r="VQO38" s="704"/>
      <c r="VQP38" s="704"/>
      <c r="VQQ38" s="704"/>
      <c r="VQR38" s="704"/>
      <c r="VQS38" s="704"/>
      <c r="VQT38" s="704"/>
      <c r="VQU38" s="704"/>
      <c r="VQV38" s="704"/>
      <c r="VQW38" s="704"/>
      <c r="VQX38" s="704"/>
      <c r="VQY38" s="704"/>
      <c r="VQZ38" s="704"/>
      <c r="VRA38" s="704"/>
      <c r="VRB38" s="704"/>
      <c r="VRC38" s="704"/>
      <c r="VRD38" s="704"/>
      <c r="VRE38" s="704"/>
      <c r="VRF38" s="704"/>
      <c r="VRG38" s="704"/>
      <c r="VRH38" s="704"/>
      <c r="VRI38" s="704"/>
      <c r="VRJ38" s="704"/>
      <c r="VRK38" s="704"/>
      <c r="VRL38" s="704"/>
      <c r="VRM38" s="704"/>
      <c r="VRN38" s="704"/>
      <c r="VRO38" s="704"/>
      <c r="VRP38" s="704"/>
      <c r="VRQ38" s="704"/>
      <c r="VRR38" s="704"/>
      <c r="VRS38" s="704"/>
      <c r="VRT38" s="704"/>
      <c r="VRU38" s="704"/>
      <c r="VRV38" s="704"/>
      <c r="VRW38" s="704"/>
      <c r="VRX38" s="704"/>
      <c r="VRY38" s="704"/>
      <c r="VRZ38" s="704"/>
      <c r="VSA38" s="704"/>
      <c r="VSB38" s="704"/>
      <c r="VSC38" s="704"/>
      <c r="VSD38" s="704"/>
      <c r="VSE38" s="704"/>
      <c r="VSF38" s="704"/>
      <c r="VSG38" s="704"/>
      <c r="VSH38" s="704"/>
      <c r="VSI38" s="704"/>
      <c r="VSJ38" s="704"/>
      <c r="VSK38" s="704"/>
      <c r="VSL38" s="704"/>
      <c r="VSM38" s="704"/>
      <c r="VSN38" s="704"/>
      <c r="VSO38" s="704"/>
      <c r="VSP38" s="704"/>
      <c r="VSQ38" s="704"/>
      <c r="VSR38" s="704"/>
      <c r="VSS38" s="704"/>
      <c r="VST38" s="704"/>
      <c r="VSU38" s="704"/>
      <c r="VSV38" s="704"/>
      <c r="VSW38" s="704"/>
      <c r="VSX38" s="704"/>
      <c r="VSY38" s="704"/>
      <c r="VSZ38" s="704"/>
      <c r="VTA38" s="704"/>
      <c r="VTB38" s="704"/>
      <c r="VTC38" s="704"/>
      <c r="VTD38" s="704"/>
      <c r="VTE38" s="704"/>
      <c r="VTF38" s="704"/>
      <c r="VTG38" s="704"/>
      <c r="VTH38" s="704"/>
      <c r="VTI38" s="704"/>
      <c r="VTJ38" s="704"/>
      <c r="VTK38" s="704"/>
      <c r="VTL38" s="704"/>
      <c r="VTM38" s="704"/>
      <c r="VTN38" s="704"/>
      <c r="VTO38" s="704"/>
      <c r="VTP38" s="704"/>
      <c r="VTQ38" s="704"/>
      <c r="VTR38" s="704"/>
      <c r="VTS38" s="704"/>
      <c r="VTT38" s="704"/>
      <c r="VTU38" s="704"/>
      <c r="VTV38" s="704"/>
      <c r="VTW38" s="704"/>
      <c r="VTX38" s="704"/>
      <c r="VTY38" s="704"/>
      <c r="VTZ38" s="704"/>
      <c r="VUA38" s="704"/>
      <c r="VUB38" s="704"/>
      <c r="VUC38" s="704"/>
      <c r="VUD38" s="704"/>
      <c r="VUE38" s="704"/>
      <c r="VUF38" s="704"/>
      <c r="VUG38" s="704"/>
      <c r="VUH38" s="704"/>
      <c r="VUI38" s="704"/>
      <c r="VUJ38" s="704"/>
      <c r="VUK38" s="704"/>
      <c r="VUL38" s="704"/>
      <c r="VUM38" s="704"/>
      <c r="VUN38" s="704"/>
      <c r="VUO38" s="704"/>
      <c r="VUP38" s="704"/>
      <c r="VUQ38" s="704"/>
      <c r="VUR38" s="704"/>
      <c r="VUS38" s="704"/>
      <c r="VUT38" s="704"/>
      <c r="VUU38" s="704"/>
      <c r="VUV38" s="704"/>
      <c r="VUW38" s="704"/>
      <c r="VUX38" s="704"/>
      <c r="VUY38" s="704"/>
      <c r="VUZ38" s="704"/>
      <c r="VVA38" s="704"/>
      <c r="VVB38" s="704"/>
      <c r="VVC38" s="704"/>
      <c r="VVD38" s="704"/>
      <c r="VVE38" s="704"/>
      <c r="VVF38" s="704"/>
      <c r="VVG38" s="704"/>
      <c r="VVH38" s="704"/>
      <c r="VVI38" s="704"/>
      <c r="VVJ38" s="704"/>
      <c r="VVK38" s="704"/>
      <c r="VVL38" s="704"/>
      <c r="VVM38" s="704"/>
      <c r="VVN38" s="704"/>
      <c r="VVO38" s="704"/>
      <c r="VVP38" s="704"/>
      <c r="VVQ38" s="704"/>
      <c r="VVR38" s="704"/>
      <c r="VVS38" s="704"/>
      <c r="VVT38" s="704"/>
      <c r="VVU38" s="704"/>
      <c r="VVV38" s="704"/>
      <c r="VVW38" s="704"/>
      <c r="VVX38" s="704"/>
      <c r="VVY38" s="704"/>
      <c r="VVZ38" s="704"/>
      <c r="VWA38" s="704"/>
      <c r="VWB38" s="704"/>
      <c r="VWC38" s="704"/>
      <c r="VWD38" s="704"/>
      <c r="VWE38" s="704"/>
      <c r="VWF38" s="704"/>
      <c r="VWG38" s="704"/>
      <c r="VWH38" s="704"/>
      <c r="VWI38" s="704"/>
      <c r="VWJ38" s="704"/>
      <c r="VWK38" s="704"/>
      <c r="VWL38" s="704"/>
      <c r="VWM38" s="704"/>
      <c r="VWN38" s="704"/>
      <c r="VWO38" s="704"/>
      <c r="VWP38" s="704"/>
      <c r="VWQ38" s="704"/>
      <c r="VWR38" s="704"/>
      <c r="VWS38" s="704"/>
      <c r="VWT38" s="704"/>
      <c r="VWU38" s="704"/>
      <c r="VWV38" s="704"/>
      <c r="VWW38" s="704"/>
      <c r="VWX38" s="704"/>
      <c r="VWY38" s="704"/>
      <c r="VWZ38" s="704"/>
      <c r="VXA38" s="704"/>
      <c r="VXB38" s="704"/>
      <c r="VXC38" s="704"/>
      <c r="VXD38" s="704"/>
      <c r="VXE38" s="704"/>
      <c r="VXF38" s="704"/>
      <c r="VXG38" s="704"/>
      <c r="VXH38" s="704"/>
      <c r="VXI38" s="704"/>
      <c r="VXJ38" s="704"/>
      <c r="VXK38" s="704"/>
      <c r="VXL38" s="704"/>
      <c r="VXM38" s="704"/>
      <c r="VXN38" s="704"/>
      <c r="VXO38" s="704"/>
      <c r="VXP38" s="704"/>
      <c r="VXQ38" s="704"/>
      <c r="VXR38" s="704"/>
      <c r="VXS38" s="704"/>
      <c r="VXT38" s="704"/>
      <c r="VXU38" s="704"/>
      <c r="VXV38" s="704"/>
      <c r="VXW38" s="704"/>
      <c r="VXX38" s="704"/>
      <c r="VXY38" s="704"/>
      <c r="VXZ38" s="704"/>
      <c r="VYA38" s="704"/>
      <c r="VYB38" s="704"/>
      <c r="VYC38" s="704"/>
      <c r="VYD38" s="704"/>
      <c r="VYE38" s="704"/>
      <c r="VYF38" s="704"/>
      <c r="VYG38" s="704"/>
      <c r="VYH38" s="704"/>
      <c r="VYI38" s="704"/>
      <c r="VYJ38" s="704"/>
      <c r="VYK38" s="704"/>
      <c r="VYL38" s="704"/>
      <c r="VYM38" s="704"/>
      <c r="VYN38" s="704"/>
      <c r="VYO38" s="704"/>
      <c r="VYP38" s="704"/>
      <c r="VYQ38" s="704"/>
      <c r="VYR38" s="704"/>
      <c r="VYS38" s="704"/>
      <c r="VYT38" s="704"/>
      <c r="VYU38" s="704"/>
      <c r="VYV38" s="704"/>
      <c r="VYW38" s="704"/>
      <c r="VYX38" s="704"/>
      <c r="VYY38" s="704"/>
      <c r="VYZ38" s="704"/>
      <c r="VZA38" s="704"/>
      <c r="VZB38" s="704"/>
      <c r="VZC38" s="704"/>
      <c r="VZD38" s="704"/>
      <c r="VZE38" s="704"/>
      <c r="VZF38" s="704"/>
      <c r="VZG38" s="704"/>
      <c r="VZH38" s="704"/>
      <c r="VZI38" s="704"/>
      <c r="VZJ38" s="704"/>
      <c r="VZK38" s="704"/>
      <c r="VZL38" s="704"/>
      <c r="VZM38" s="704"/>
      <c r="VZN38" s="704"/>
      <c r="VZO38" s="704"/>
      <c r="VZP38" s="704"/>
      <c r="VZQ38" s="704"/>
      <c r="VZR38" s="704"/>
      <c r="VZS38" s="704"/>
      <c r="VZT38" s="704"/>
      <c r="VZU38" s="704"/>
      <c r="VZV38" s="704"/>
      <c r="VZW38" s="704"/>
      <c r="VZX38" s="704"/>
      <c r="VZY38" s="704"/>
      <c r="VZZ38" s="704"/>
      <c r="WAA38" s="704"/>
      <c r="WAB38" s="704"/>
      <c r="WAC38" s="704"/>
      <c r="WAD38" s="704"/>
      <c r="WAE38" s="704"/>
      <c r="WAF38" s="704"/>
      <c r="WAG38" s="704"/>
      <c r="WAH38" s="704"/>
      <c r="WAI38" s="704"/>
      <c r="WAJ38" s="704"/>
      <c r="WAK38" s="704"/>
      <c r="WAL38" s="704"/>
      <c r="WAM38" s="704"/>
      <c r="WAN38" s="704"/>
      <c r="WAO38" s="704"/>
      <c r="WAP38" s="704"/>
      <c r="WAQ38" s="704"/>
      <c r="WAR38" s="704"/>
      <c r="WAS38" s="704"/>
      <c r="WAT38" s="704"/>
      <c r="WAU38" s="704"/>
      <c r="WAV38" s="704"/>
      <c r="WAW38" s="704"/>
      <c r="WAX38" s="704"/>
      <c r="WAY38" s="704"/>
      <c r="WAZ38" s="704"/>
      <c r="WBA38" s="704"/>
      <c r="WBB38" s="704"/>
      <c r="WBC38" s="704"/>
      <c r="WBD38" s="704"/>
      <c r="WBE38" s="704"/>
      <c r="WBF38" s="704"/>
      <c r="WBG38" s="704"/>
      <c r="WBH38" s="704"/>
      <c r="WBI38" s="704"/>
      <c r="WBJ38" s="704"/>
      <c r="WBK38" s="704"/>
      <c r="WBL38" s="704"/>
      <c r="WBM38" s="704"/>
      <c r="WBN38" s="704"/>
      <c r="WBO38" s="704"/>
      <c r="WBP38" s="704"/>
      <c r="WBQ38" s="704"/>
      <c r="WBR38" s="704"/>
      <c r="WBS38" s="704"/>
      <c r="WBT38" s="704"/>
      <c r="WBU38" s="704"/>
      <c r="WBV38" s="704"/>
      <c r="WBW38" s="704"/>
      <c r="WBX38" s="704"/>
      <c r="WBY38" s="704"/>
      <c r="WBZ38" s="704"/>
      <c r="WCA38" s="704"/>
      <c r="WCB38" s="704"/>
      <c r="WCC38" s="704"/>
      <c r="WCD38" s="704"/>
      <c r="WCE38" s="704"/>
      <c r="WCF38" s="704"/>
      <c r="WCG38" s="704"/>
      <c r="WCH38" s="704"/>
      <c r="WCI38" s="704"/>
      <c r="WCJ38" s="704"/>
      <c r="WCK38" s="704"/>
      <c r="WCL38" s="704"/>
      <c r="WCM38" s="704"/>
      <c r="WCN38" s="704"/>
      <c r="WCO38" s="704"/>
      <c r="WCP38" s="704"/>
      <c r="WCQ38" s="704"/>
      <c r="WCR38" s="704"/>
      <c r="WCS38" s="704"/>
      <c r="WCT38" s="704"/>
      <c r="WCU38" s="704"/>
      <c r="WCV38" s="704"/>
      <c r="WCW38" s="704"/>
      <c r="WCX38" s="704"/>
      <c r="WCY38" s="704"/>
      <c r="WCZ38" s="704"/>
      <c r="WDA38" s="704"/>
      <c r="WDB38" s="704"/>
      <c r="WDC38" s="704"/>
      <c r="WDD38" s="704"/>
      <c r="WDE38" s="704"/>
      <c r="WDF38" s="704"/>
      <c r="WDG38" s="704"/>
      <c r="WDH38" s="704"/>
      <c r="WDI38" s="704"/>
      <c r="WDJ38" s="704"/>
      <c r="WDK38" s="704"/>
      <c r="WDL38" s="704"/>
      <c r="WDM38" s="704"/>
      <c r="WDN38" s="704"/>
      <c r="WDO38" s="704"/>
      <c r="WDP38" s="704"/>
      <c r="WDQ38" s="704"/>
      <c r="WDR38" s="704"/>
      <c r="WDS38" s="704"/>
      <c r="WDT38" s="704"/>
      <c r="WDU38" s="704"/>
      <c r="WDV38" s="704"/>
      <c r="WDW38" s="704"/>
      <c r="WDX38" s="704"/>
      <c r="WDY38" s="704"/>
      <c r="WDZ38" s="704"/>
      <c r="WEA38" s="704"/>
      <c r="WEB38" s="704"/>
      <c r="WEC38" s="704"/>
      <c r="WED38" s="704"/>
      <c r="WEE38" s="704"/>
      <c r="WEF38" s="704"/>
      <c r="WEG38" s="704"/>
      <c r="WEH38" s="704"/>
      <c r="WEI38" s="704"/>
      <c r="WEJ38" s="704"/>
      <c r="WEK38" s="704"/>
      <c r="WEL38" s="704"/>
      <c r="WEM38" s="704"/>
      <c r="WEN38" s="704"/>
      <c r="WEO38" s="704"/>
      <c r="WEP38" s="704"/>
      <c r="WEQ38" s="704"/>
      <c r="WER38" s="704"/>
      <c r="WES38" s="704"/>
      <c r="WET38" s="704"/>
      <c r="WEU38" s="704"/>
      <c r="WEV38" s="704"/>
      <c r="WEW38" s="704"/>
      <c r="WEX38" s="704"/>
      <c r="WEY38" s="704"/>
      <c r="WEZ38" s="704"/>
      <c r="WFA38" s="704"/>
      <c r="WFB38" s="704"/>
      <c r="WFC38" s="704"/>
      <c r="WFD38" s="704"/>
      <c r="WFE38" s="704"/>
      <c r="WFF38" s="704"/>
      <c r="WFG38" s="704"/>
      <c r="WFH38" s="704"/>
      <c r="WFI38" s="704"/>
      <c r="WFJ38" s="704"/>
      <c r="WFK38" s="704"/>
      <c r="WFL38" s="704"/>
      <c r="WFM38" s="704"/>
      <c r="WFN38" s="704"/>
      <c r="WFO38" s="704"/>
      <c r="WFP38" s="704"/>
      <c r="WFQ38" s="704"/>
      <c r="WFR38" s="704"/>
      <c r="WFS38" s="704"/>
      <c r="WFT38" s="704"/>
      <c r="WFU38" s="704"/>
      <c r="WFV38" s="704"/>
      <c r="WFW38" s="704"/>
      <c r="WFX38" s="704"/>
      <c r="WFY38" s="704"/>
      <c r="WFZ38" s="704"/>
      <c r="WGA38" s="704"/>
      <c r="WGB38" s="704"/>
      <c r="WGC38" s="704"/>
      <c r="WGD38" s="704"/>
      <c r="WGE38" s="704"/>
      <c r="WGF38" s="704"/>
      <c r="WGG38" s="704"/>
      <c r="WGH38" s="704"/>
      <c r="WGI38" s="704"/>
      <c r="WGJ38" s="704"/>
      <c r="WGK38" s="704"/>
      <c r="WGL38" s="704"/>
      <c r="WGM38" s="704"/>
      <c r="WGN38" s="704"/>
      <c r="WGO38" s="704"/>
      <c r="WGP38" s="704"/>
      <c r="WGQ38" s="704"/>
      <c r="WGR38" s="704"/>
      <c r="WGS38" s="704"/>
      <c r="WGT38" s="704"/>
      <c r="WGU38" s="704"/>
      <c r="WGV38" s="704"/>
      <c r="WGW38" s="704"/>
      <c r="WGX38" s="704"/>
      <c r="WGY38" s="704"/>
      <c r="WGZ38" s="704"/>
      <c r="WHA38" s="704"/>
      <c r="WHB38" s="704"/>
      <c r="WHC38" s="704"/>
      <c r="WHD38" s="704"/>
      <c r="WHE38" s="704"/>
      <c r="WHF38" s="704"/>
      <c r="WHG38" s="704"/>
      <c r="WHH38" s="704"/>
      <c r="WHI38" s="704"/>
      <c r="WHJ38" s="704"/>
      <c r="WHK38" s="704"/>
      <c r="WHL38" s="704"/>
      <c r="WHM38" s="704"/>
      <c r="WHN38" s="704"/>
      <c r="WHO38" s="704"/>
      <c r="WHP38" s="704"/>
      <c r="WHQ38" s="704"/>
      <c r="WHR38" s="704"/>
      <c r="WHS38" s="704"/>
      <c r="WHT38" s="704"/>
      <c r="WHU38" s="704"/>
      <c r="WHV38" s="704"/>
      <c r="WHW38" s="704"/>
      <c r="WHX38" s="704"/>
      <c r="WHY38" s="704"/>
      <c r="WHZ38" s="704"/>
      <c r="WIA38" s="704"/>
      <c r="WIB38" s="704"/>
      <c r="WIC38" s="704"/>
      <c r="WID38" s="704"/>
      <c r="WIE38" s="704"/>
      <c r="WIF38" s="704"/>
      <c r="WIG38" s="704"/>
      <c r="WIH38" s="704"/>
      <c r="WII38" s="704"/>
      <c r="WIJ38" s="704"/>
      <c r="WIK38" s="704"/>
      <c r="WIL38" s="704"/>
      <c r="WIM38" s="704"/>
      <c r="WIN38" s="704"/>
      <c r="WIO38" s="704"/>
      <c r="WIP38" s="704"/>
      <c r="WIQ38" s="704"/>
      <c r="WIR38" s="704"/>
      <c r="WIS38" s="704"/>
      <c r="WIT38" s="704"/>
      <c r="WIU38" s="704"/>
      <c r="WIV38" s="704"/>
      <c r="WIW38" s="704"/>
      <c r="WIX38" s="704"/>
      <c r="WIY38" s="704"/>
      <c r="WIZ38" s="704"/>
      <c r="WJA38" s="704"/>
      <c r="WJB38" s="704"/>
      <c r="WJC38" s="704"/>
      <c r="WJD38" s="704"/>
      <c r="WJE38" s="704"/>
      <c r="WJF38" s="704"/>
      <c r="WJG38" s="704"/>
      <c r="WJH38" s="704"/>
      <c r="WJI38" s="704"/>
      <c r="WJJ38" s="704"/>
      <c r="WJK38" s="704"/>
      <c r="WJL38" s="704"/>
      <c r="WJM38" s="704"/>
      <c r="WJN38" s="704"/>
      <c r="WJO38" s="704"/>
      <c r="WJP38" s="704"/>
      <c r="WJQ38" s="704"/>
      <c r="WJR38" s="704"/>
      <c r="WJS38" s="704"/>
      <c r="WJT38" s="704"/>
      <c r="WJU38" s="704"/>
      <c r="WJV38" s="704"/>
      <c r="WJW38" s="704"/>
      <c r="WJX38" s="704"/>
      <c r="WJY38" s="704"/>
      <c r="WJZ38" s="704"/>
      <c r="WKA38" s="704"/>
      <c r="WKB38" s="704"/>
      <c r="WKC38" s="704"/>
      <c r="WKD38" s="704"/>
      <c r="WKE38" s="704"/>
      <c r="WKF38" s="704"/>
      <c r="WKG38" s="704"/>
      <c r="WKH38" s="704"/>
      <c r="WKI38" s="704"/>
      <c r="WKJ38" s="704"/>
      <c r="WKK38" s="704"/>
      <c r="WKL38" s="704"/>
      <c r="WKM38" s="704"/>
      <c r="WKN38" s="704"/>
      <c r="WKO38" s="704"/>
      <c r="WKP38" s="704"/>
      <c r="WKQ38" s="704"/>
      <c r="WKR38" s="704"/>
      <c r="WKS38" s="704"/>
      <c r="WKT38" s="704"/>
      <c r="WKU38" s="704"/>
      <c r="WKV38" s="704"/>
      <c r="WKW38" s="704"/>
      <c r="WKX38" s="704"/>
      <c r="WKY38" s="704"/>
      <c r="WKZ38" s="704"/>
      <c r="WLA38" s="704"/>
      <c r="WLB38" s="704"/>
      <c r="WLC38" s="704"/>
      <c r="WLD38" s="704"/>
      <c r="WLE38" s="704"/>
      <c r="WLF38" s="704"/>
      <c r="WLG38" s="704"/>
      <c r="WLH38" s="704"/>
      <c r="WLI38" s="704"/>
      <c r="WLJ38" s="704"/>
      <c r="WLK38" s="704"/>
      <c r="WLL38" s="704"/>
      <c r="WLM38" s="704"/>
      <c r="WLN38" s="704"/>
      <c r="WLO38" s="704"/>
      <c r="WLP38" s="704"/>
      <c r="WLQ38" s="704"/>
      <c r="WLR38" s="704"/>
      <c r="WLS38" s="704"/>
      <c r="WLT38" s="704"/>
      <c r="WLU38" s="704"/>
      <c r="WLV38" s="704"/>
      <c r="WLW38" s="704"/>
      <c r="WLX38" s="704"/>
      <c r="WLY38" s="704"/>
      <c r="WLZ38" s="704"/>
      <c r="WMA38" s="704"/>
      <c r="WMB38" s="704"/>
      <c r="WMC38" s="704"/>
      <c r="WMD38" s="704"/>
      <c r="WME38" s="704"/>
      <c r="WMF38" s="704"/>
      <c r="WMG38" s="704"/>
      <c r="WMH38" s="704"/>
      <c r="WMI38" s="704"/>
      <c r="WMJ38" s="704"/>
      <c r="WMK38" s="704"/>
      <c r="WML38" s="704"/>
      <c r="WMM38" s="704"/>
      <c r="WMN38" s="704"/>
      <c r="WMO38" s="704"/>
      <c r="WMP38" s="704"/>
      <c r="WMQ38" s="704"/>
      <c r="WMR38" s="704"/>
      <c r="WMS38" s="704"/>
      <c r="WMT38" s="704"/>
      <c r="WMU38" s="704"/>
      <c r="WMV38" s="704"/>
      <c r="WMW38" s="704"/>
      <c r="WMX38" s="704"/>
      <c r="WMY38" s="704"/>
      <c r="WMZ38" s="704"/>
      <c r="WNA38" s="704"/>
      <c r="WNB38" s="704"/>
      <c r="WNC38" s="704"/>
      <c r="WND38" s="704"/>
      <c r="WNE38" s="704"/>
      <c r="WNF38" s="704"/>
      <c r="WNG38" s="704"/>
      <c r="WNH38" s="704"/>
      <c r="WNI38" s="704"/>
      <c r="WNJ38" s="704"/>
      <c r="WNK38" s="704"/>
      <c r="WNL38" s="704"/>
      <c r="WNM38" s="704"/>
      <c r="WNN38" s="704"/>
      <c r="WNO38" s="704"/>
      <c r="WNP38" s="704"/>
      <c r="WNQ38" s="704"/>
      <c r="WNR38" s="704"/>
      <c r="WNS38" s="704"/>
      <c r="WNT38" s="704"/>
      <c r="WNU38" s="704"/>
      <c r="WNV38" s="704"/>
      <c r="WNW38" s="704"/>
      <c r="WNX38" s="704"/>
      <c r="WNY38" s="704"/>
      <c r="WNZ38" s="704"/>
      <c r="WOA38" s="704"/>
      <c r="WOB38" s="704"/>
      <c r="WOC38" s="704"/>
      <c r="WOD38" s="704"/>
      <c r="WOE38" s="704"/>
      <c r="WOF38" s="704"/>
      <c r="WOG38" s="704"/>
      <c r="WOH38" s="704"/>
      <c r="WOI38" s="704"/>
      <c r="WOJ38" s="704"/>
      <c r="WOK38" s="704"/>
      <c r="WOL38" s="704"/>
      <c r="WOM38" s="704"/>
      <c r="WON38" s="704"/>
      <c r="WOO38" s="704"/>
      <c r="WOP38" s="704"/>
      <c r="WOQ38" s="704"/>
      <c r="WOR38" s="704"/>
      <c r="WOS38" s="704"/>
      <c r="WOT38" s="704"/>
      <c r="WOU38" s="704"/>
      <c r="WOV38" s="704"/>
      <c r="WOW38" s="704"/>
      <c r="WOX38" s="704"/>
      <c r="WOY38" s="704"/>
      <c r="WOZ38" s="704"/>
      <c r="WPA38" s="704"/>
      <c r="WPB38" s="704"/>
      <c r="WPC38" s="704"/>
      <c r="WPD38" s="704"/>
      <c r="WPE38" s="704"/>
      <c r="WPF38" s="704"/>
      <c r="WPG38" s="704"/>
      <c r="WPH38" s="704"/>
      <c r="WPI38" s="704"/>
      <c r="WPJ38" s="704"/>
      <c r="WPK38" s="704"/>
      <c r="WPL38" s="704"/>
      <c r="WPM38" s="704"/>
      <c r="WPN38" s="704"/>
      <c r="WPO38" s="704"/>
      <c r="WPP38" s="704"/>
      <c r="WPQ38" s="704"/>
      <c r="WPR38" s="704"/>
      <c r="WPS38" s="704"/>
      <c r="WPT38" s="704"/>
      <c r="WPU38" s="704"/>
      <c r="WPV38" s="704"/>
      <c r="WPW38" s="704"/>
      <c r="WPX38" s="704"/>
      <c r="WPY38" s="704"/>
      <c r="WPZ38" s="704"/>
      <c r="WQA38" s="704"/>
      <c r="WQB38" s="704"/>
      <c r="WQC38" s="704"/>
      <c r="WQD38" s="704"/>
      <c r="WQE38" s="704"/>
      <c r="WQF38" s="704"/>
      <c r="WQG38" s="704"/>
      <c r="WQH38" s="704"/>
      <c r="WQI38" s="704"/>
      <c r="WQJ38" s="704"/>
      <c r="WQK38" s="704"/>
      <c r="WQL38" s="704"/>
      <c r="WQM38" s="704"/>
      <c r="WQN38" s="704"/>
      <c r="WQO38" s="704"/>
      <c r="WQP38" s="704"/>
      <c r="WQQ38" s="704"/>
      <c r="WQR38" s="704"/>
      <c r="WQS38" s="704"/>
      <c r="WQT38" s="704"/>
      <c r="WQU38" s="704"/>
      <c r="WQV38" s="704"/>
      <c r="WQW38" s="704"/>
      <c r="WQX38" s="704"/>
      <c r="WQY38" s="704"/>
      <c r="WQZ38" s="704"/>
      <c r="WRA38" s="704"/>
      <c r="WRB38" s="704"/>
      <c r="WRC38" s="704"/>
      <c r="WRD38" s="704"/>
      <c r="WRE38" s="704"/>
      <c r="WRF38" s="704"/>
      <c r="WRG38" s="704"/>
      <c r="WRH38" s="704"/>
      <c r="WRI38" s="704"/>
      <c r="WRJ38" s="704"/>
      <c r="WRK38" s="704"/>
      <c r="WRL38" s="704"/>
      <c r="WRM38" s="704"/>
      <c r="WRN38" s="704"/>
      <c r="WRO38" s="704"/>
      <c r="WRP38" s="704"/>
      <c r="WRQ38" s="704"/>
      <c r="WRR38" s="704"/>
      <c r="WRS38" s="704"/>
      <c r="WRT38" s="704"/>
      <c r="WRU38" s="704"/>
      <c r="WRV38" s="704"/>
      <c r="WRW38" s="704"/>
      <c r="WRX38" s="704"/>
      <c r="WRY38" s="704"/>
      <c r="WRZ38" s="704"/>
      <c r="WSA38" s="704"/>
      <c r="WSB38" s="704"/>
      <c r="WSC38" s="704"/>
      <c r="WSD38" s="704"/>
      <c r="WSE38" s="704"/>
      <c r="WSF38" s="704"/>
      <c r="WSG38" s="704"/>
      <c r="WSH38" s="704"/>
      <c r="WSI38" s="704"/>
      <c r="WSJ38" s="704"/>
      <c r="WSK38" s="704"/>
      <c r="WSL38" s="704"/>
      <c r="WSM38" s="704"/>
      <c r="WSN38" s="704"/>
      <c r="WSO38" s="704"/>
      <c r="WSP38" s="704"/>
      <c r="WSQ38" s="704"/>
      <c r="WSR38" s="704"/>
      <c r="WSS38" s="704"/>
      <c r="WST38" s="704"/>
      <c r="WSU38" s="704"/>
      <c r="WSV38" s="704"/>
      <c r="WSW38" s="704"/>
      <c r="WSX38" s="704"/>
      <c r="WSY38" s="704"/>
      <c r="WSZ38" s="704"/>
      <c r="WTA38" s="704"/>
      <c r="WTB38" s="704"/>
      <c r="WTC38" s="704"/>
      <c r="WTD38" s="704"/>
      <c r="WTE38" s="704"/>
      <c r="WTF38" s="704"/>
      <c r="WTG38" s="704"/>
      <c r="WTH38" s="704"/>
      <c r="WTI38" s="704"/>
      <c r="WTJ38" s="704"/>
      <c r="WTK38" s="704"/>
      <c r="WTL38" s="704"/>
      <c r="WTM38" s="704"/>
      <c r="WTN38" s="704"/>
      <c r="WTO38" s="704"/>
      <c r="WTP38" s="704"/>
      <c r="WTQ38" s="704"/>
      <c r="WTR38" s="704"/>
      <c r="WTS38" s="704"/>
      <c r="WTT38" s="704"/>
      <c r="WTU38" s="704"/>
      <c r="WTV38" s="704"/>
      <c r="WTW38" s="704"/>
      <c r="WTX38" s="704"/>
      <c r="WTY38" s="704"/>
      <c r="WTZ38" s="704"/>
      <c r="WUA38" s="704"/>
      <c r="WUB38" s="704"/>
      <c r="WUC38" s="704"/>
      <c r="WUD38" s="704"/>
      <c r="WUE38" s="704"/>
      <c r="WUF38" s="704"/>
      <c r="WUG38" s="704"/>
      <c r="WUH38" s="704"/>
      <c r="WUI38" s="704"/>
      <c r="WUJ38" s="704"/>
      <c r="WUK38" s="704"/>
      <c r="WUL38" s="704"/>
      <c r="WUM38" s="704"/>
      <c r="WUN38" s="704"/>
      <c r="WUO38" s="704"/>
      <c r="WUP38" s="704"/>
      <c r="WUQ38" s="704"/>
      <c r="WUR38" s="704"/>
      <c r="WUS38" s="704"/>
      <c r="WUT38" s="704"/>
      <c r="WUU38" s="704"/>
      <c r="WUV38" s="704"/>
      <c r="WUW38" s="704"/>
      <c r="WUX38" s="704"/>
      <c r="WUY38" s="704"/>
      <c r="WUZ38" s="704"/>
      <c r="WVA38" s="704"/>
      <c r="WVB38" s="704"/>
      <c r="WVC38" s="704"/>
      <c r="WVD38" s="704"/>
      <c r="WVE38" s="704"/>
      <c r="WVF38" s="704"/>
      <c r="WVG38" s="704"/>
      <c r="WVH38" s="704"/>
      <c r="WVI38" s="704"/>
      <c r="WVJ38" s="704"/>
      <c r="WVK38" s="704"/>
      <c r="WVL38" s="704"/>
      <c r="WVM38" s="704"/>
      <c r="WVN38" s="704"/>
      <c r="WVO38" s="704"/>
      <c r="WVP38" s="704"/>
      <c r="WVQ38" s="704"/>
      <c r="WVR38" s="704"/>
      <c r="WVS38" s="704"/>
      <c r="WVT38" s="704"/>
      <c r="WVU38" s="704"/>
      <c r="WVV38" s="704"/>
      <c r="WVW38" s="704"/>
      <c r="WVX38" s="704"/>
      <c r="WVY38" s="704"/>
      <c r="WVZ38" s="704"/>
      <c r="WWA38" s="704"/>
      <c r="WWB38" s="704"/>
      <c r="WWC38" s="704"/>
      <c r="WWD38" s="704"/>
      <c r="WWE38" s="704"/>
      <c r="WWF38" s="704"/>
      <c r="WWG38" s="704"/>
      <c r="WWH38" s="704"/>
      <c r="WWI38" s="704"/>
      <c r="WWJ38" s="704"/>
      <c r="WWK38" s="704"/>
      <c r="WWL38" s="704"/>
      <c r="WWM38" s="704"/>
      <c r="WWN38" s="704"/>
      <c r="WWO38" s="704"/>
      <c r="WWP38" s="704"/>
      <c r="WWQ38" s="704"/>
      <c r="WWR38" s="704"/>
      <c r="WWS38" s="704"/>
      <c r="WWT38" s="704"/>
      <c r="WWU38" s="704"/>
      <c r="WWV38" s="704"/>
      <c r="WWW38" s="704"/>
      <c r="WWX38" s="704"/>
      <c r="WWY38" s="704"/>
      <c r="WWZ38" s="704"/>
      <c r="WXA38" s="704"/>
      <c r="WXB38" s="704"/>
      <c r="WXC38" s="704"/>
      <c r="WXD38" s="704"/>
      <c r="WXE38" s="704"/>
      <c r="WXF38" s="704"/>
      <c r="WXG38" s="704"/>
      <c r="WXH38" s="704"/>
      <c r="WXI38" s="704"/>
      <c r="WXJ38" s="704"/>
      <c r="WXK38" s="704"/>
      <c r="WXL38" s="704"/>
      <c r="WXM38" s="704"/>
      <c r="WXN38" s="704"/>
      <c r="WXO38" s="704"/>
      <c r="WXP38" s="704"/>
      <c r="WXQ38" s="704"/>
      <c r="WXR38" s="704"/>
      <c r="WXS38" s="704"/>
      <c r="WXT38" s="704"/>
      <c r="WXU38" s="704"/>
      <c r="WXV38" s="704"/>
      <c r="WXW38" s="704"/>
      <c r="WXX38" s="704"/>
      <c r="WXY38" s="704"/>
      <c r="WXZ38" s="704"/>
      <c r="WYA38" s="704"/>
      <c r="WYB38" s="704"/>
      <c r="WYC38" s="704"/>
      <c r="WYD38" s="704"/>
      <c r="WYE38" s="704"/>
      <c r="WYF38" s="704"/>
      <c r="WYG38" s="704"/>
      <c r="WYH38" s="704"/>
      <c r="WYI38" s="704"/>
      <c r="WYJ38" s="704"/>
      <c r="WYK38" s="704"/>
      <c r="WYL38" s="704"/>
      <c r="WYM38" s="704"/>
      <c r="WYN38" s="704"/>
      <c r="WYO38" s="704"/>
      <c r="WYP38" s="704"/>
      <c r="WYQ38" s="704"/>
      <c r="WYR38" s="704"/>
      <c r="WYS38" s="704"/>
      <c r="WYT38" s="704"/>
      <c r="WYU38" s="704"/>
      <c r="WYV38" s="704"/>
      <c r="WYW38" s="704"/>
      <c r="WYX38" s="704"/>
      <c r="WYY38" s="704"/>
      <c r="WYZ38" s="704"/>
      <c r="WZA38" s="704"/>
      <c r="WZB38" s="704"/>
      <c r="WZC38" s="704"/>
      <c r="WZD38" s="704"/>
      <c r="WZE38" s="704"/>
      <c r="WZF38" s="704"/>
      <c r="WZG38" s="704"/>
      <c r="WZH38" s="704"/>
      <c r="WZI38" s="704"/>
      <c r="WZJ38" s="704"/>
      <c r="WZK38" s="704"/>
      <c r="WZL38" s="704"/>
      <c r="WZM38" s="704"/>
      <c r="WZN38" s="704"/>
      <c r="WZO38" s="704"/>
      <c r="WZP38" s="704"/>
      <c r="WZQ38" s="704"/>
      <c r="WZR38" s="704"/>
      <c r="WZS38" s="704"/>
      <c r="WZT38" s="704"/>
      <c r="WZU38" s="704"/>
      <c r="WZV38" s="704"/>
      <c r="WZW38" s="704"/>
      <c r="WZX38" s="704"/>
      <c r="WZY38" s="704"/>
      <c r="WZZ38" s="704"/>
      <c r="XAA38" s="704"/>
      <c r="XAB38" s="704"/>
      <c r="XAC38" s="704"/>
      <c r="XAD38" s="704"/>
      <c r="XAE38" s="704"/>
      <c r="XAF38" s="704"/>
      <c r="XAG38" s="704"/>
      <c r="XAH38" s="704"/>
      <c r="XAI38" s="704"/>
      <c r="XAJ38" s="704"/>
      <c r="XAK38" s="704"/>
      <c r="XAL38" s="704"/>
      <c r="XAM38" s="704"/>
      <c r="XAN38" s="704"/>
      <c r="XAO38" s="704"/>
      <c r="XAP38" s="704"/>
      <c r="XAQ38" s="704"/>
      <c r="XAR38" s="704"/>
      <c r="XAS38" s="704"/>
      <c r="XAT38" s="704"/>
      <c r="XAU38" s="704"/>
      <c r="XAV38" s="704"/>
      <c r="XAW38" s="704"/>
      <c r="XAX38" s="704"/>
      <c r="XAY38" s="704"/>
      <c r="XAZ38" s="704"/>
      <c r="XBA38" s="704"/>
      <c r="XBB38" s="704"/>
      <c r="XBC38" s="704"/>
      <c r="XBD38" s="704"/>
      <c r="XBE38" s="704"/>
      <c r="XBF38" s="704"/>
      <c r="XBG38" s="704"/>
      <c r="XBH38" s="704"/>
      <c r="XBI38" s="704"/>
      <c r="XBJ38" s="704"/>
      <c r="XBK38" s="704"/>
      <c r="XBL38" s="704"/>
      <c r="XBM38" s="704"/>
      <c r="XBN38" s="704"/>
      <c r="XBO38" s="704"/>
      <c r="XBP38" s="704"/>
      <c r="XBQ38" s="704"/>
      <c r="XBR38" s="704"/>
      <c r="XBS38" s="704"/>
      <c r="XBT38" s="704"/>
      <c r="XBU38" s="704"/>
      <c r="XBV38" s="704"/>
      <c r="XBW38" s="704"/>
      <c r="XBX38" s="704"/>
      <c r="XBY38" s="704"/>
      <c r="XBZ38" s="704"/>
      <c r="XCA38" s="704"/>
      <c r="XCB38" s="704"/>
      <c r="XCC38" s="704"/>
      <c r="XCD38" s="704"/>
      <c r="XCE38" s="704"/>
      <c r="XCF38" s="704"/>
      <c r="XCG38" s="704"/>
      <c r="XCH38" s="704"/>
      <c r="XCI38" s="704"/>
      <c r="XCJ38" s="704"/>
      <c r="XCK38" s="704"/>
      <c r="XCL38" s="704"/>
      <c r="XCM38" s="704"/>
      <c r="XCN38" s="704"/>
      <c r="XCO38" s="704"/>
      <c r="XCP38" s="704"/>
      <c r="XCQ38" s="704"/>
      <c r="XCR38" s="704"/>
      <c r="XCS38" s="704"/>
      <c r="XCT38" s="704"/>
      <c r="XCU38" s="704"/>
      <c r="XCV38" s="704"/>
      <c r="XCW38" s="704"/>
      <c r="XCX38" s="704"/>
      <c r="XCY38" s="704"/>
      <c r="XCZ38" s="704"/>
      <c r="XDA38" s="704"/>
      <c r="XDB38" s="704"/>
      <c r="XDC38" s="704"/>
      <c r="XDD38" s="704"/>
      <c r="XDE38" s="704"/>
      <c r="XDF38" s="704"/>
      <c r="XDG38" s="704"/>
      <c r="XDH38" s="704"/>
      <c r="XDI38" s="704"/>
      <c r="XDJ38" s="704"/>
      <c r="XDK38" s="704"/>
      <c r="XDL38" s="704"/>
      <c r="XDM38" s="704"/>
      <c r="XDN38" s="704"/>
      <c r="XDO38" s="704"/>
      <c r="XDP38" s="704"/>
      <c r="XDQ38" s="704"/>
      <c r="XDR38" s="704"/>
      <c r="XDS38" s="704"/>
      <c r="XDT38" s="704"/>
      <c r="XDU38" s="704"/>
      <c r="XDV38" s="704"/>
      <c r="XDW38" s="704"/>
      <c r="XDX38" s="704"/>
      <c r="XDY38" s="704"/>
      <c r="XDZ38" s="704"/>
      <c r="XEA38" s="704"/>
      <c r="XEB38" s="704"/>
      <c r="XEC38" s="704"/>
      <c r="XED38" s="704"/>
      <c r="XEE38" s="704"/>
      <c r="XEF38" s="704"/>
      <c r="XEG38" s="704"/>
      <c r="XEH38" s="704"/>
      <c r="XEI38" s="704"/>
      <c r="XEJ38" s="704"/>
      <c r="XEK38" s="704"/>
      <c r="XEL38" s="704"/>
      <c r="XEM38" s="704"/>
      <c r="XEN38" s="704"/>
      <c r="XEO38" s="704"/>
      <c r="XEP38" s="704"/>
      <c r="XEQ38" s="704"/>
      <c r="XER38" s="704"/>
      <c r="XES38" s="704"/>
      <c r="XET38" s="704"/>
      <c r="XEU38" s="704"/>
      <c r="XEV38" s="704"/>
      <c r="XEW38" s="704"/>
      <c r="XEX38" s="704"/>
      <c r="XEY38" s="704"/>
      <c r="XEZ38" s="704"/>
      <c r="XFA38" s="704"/>
    </row>
    <row r="39" spans="1:16381" ht="60.75" customHeight="1">
      <c r="A39" s="144" t="s">
        <v>79</v>
      </c>
      <c r="B39" s="151" t="s">
        <v>80</v>
      </c>
      <c r="C39" s="145"/>
      <c r="D39" s="145"/>
      <c r="E39" s="145"/>
      <c r="F39" s="145"/>
      <c r="G39" s="145"/>
      <c r="H39" s="145"/>
      <c r="I39" s="146"/>
      <c r="J39" s="147"/>
      <c r="K39" s="148"/>
      <c r="L39" s="148"/>
      <c r="M39" s="148"/>
      <c r="N39" s="148"/>
      <c r="O39" s="144"/>
      <c r="P39" s="144"/>
      <c r="Q39" s="144"/>
      <c r="R39" s="144"/>
      <c r="S39" s="704"/>
      <c r="T39" s="704"/>
      <c r="U39" s="704"/>
      <c r="V39" s="704"/>
      <c r="W39" s="704"/>
      <c r="X39" s="704"/>
      <c r="Y39" s="704"/>
      <c r="Z39" s="704"/>
      <c r="AA39" s="704"/>
      <c r="AB39" s="704"/>
      <c r="AC39" s="704"/>
      <c r="AD39" s="704"/>
      <c r="AE39" s="704"/>
      <c r="AF39" s="704"/>
      <c r="AG39" s="704"/>
      <c r="AH39" s="8"/>
      <c r="AI39" s="45"/>
      <c r="AJ39" s="8"/>
      <c r="AK39" s="123"/>
      <c r="AL39" s="20"/>
      <c r="AM39" s="260"/>
      <c r="AN39" s="260"/>
      <c r="AO39" s="260"/>
      <c r="AP39" s="260"/>
      <c r="AQ39" s="260"/>
      <c r="AR39" s="260"/>
      <c r="AS39" s="260"/>
      <c r="AT39" s="260"/>
      <c r="AU39" s="260"/>
      <c r="AV39" s="260"/>
      <c r="AW39" s="260"/>
      <c r="AX39" s="704"/>
      <c r="AY39" s="704"/>
      <c r="AZ39" s="704"/>
      <c r="BA39" s="704"/>
      <c r="BB39" s="704"/>
      <c r="BC39" s="704"/>
      <c r="BD39" s="704"/>
      <c r="BE39" s="704"/>
      <c r="BF39" s="704"/>
      <c r="BG39" s="704"/>
      <c r="BH39" s="704"/>
      <c r="BI39" s="704"/>
      <c r="BJ39" s="704"/>
      <c r="BK39" s="704"/>
      <c r="BL39" s="704"/>
      <c r="BM39" s="704"/>
      <c r="BN39" s="704"/>
      <c r="BO39" s="704"/>
      <c r="BP39" s="704"/>
      <c r="BQ39" s="704"/>
      <c r="BR39" s="704"/>
      <c r="BS39" s="704"/>
      <c r="BT39" s="704"/>
      <c r="BU39" s="704"/>
      <c r="BV39" s="704"/>
      <c r="BW39" s="704"/>
      <c r="BX39" s="704"/>
      <c r="BY39" s="704"/>
      <c r="BZ39" s="704"/>
      <c r="CA39" s="704"/>
      <c r="CB39" s="704"/>
      <c r="CC39" s="704"/>
      <c r="CD39" s="704"/>
      <c r="CE39" s="704"/>
      <c r="CF39" s="704"/>
      <c r="CG39" s="704"/>
      <c r="CH39" s="704"/>
      <c r="CI39" s="704"/>
      <c r="CJ39" s="704"/>
      <c r="CK39" s="704"/>
      <c r="CL39" s="704"/>
      <c r="CM39" s="704"/>
      <c r="CN39" s="704"/>
      <c r="CO39" s="704"/>
      <c r="CP39" s="704"/>
      <c r="CQ39" s="704"/>
      <c r="CR39" s="704"/>
      <c r="CS39" s="704"/>
      <c r="CT39" s="704"/>
      <c r="CU39" s="704"/>
      <c r="CV39" s="704"/>
      <c r="CW39" s="704"/>
      <c r="CX39" s="704"/>
      <c r="CY39" s="704"/>
      <c r="CZ39" s="704"/>
      <c r="DA39" s="704"/>
      <c r="DB39" s="704"/>
      <c r="DC39" s="704"/>
      <c r="DD39" s="704"/>
      <c r="DE39" s="704"/>
      <c r="DF39" s="704"/>
      <c r="DG39" s="704"/>
      <c r="DH39" s="704"/>
      <c r="DI39" s="704"/>
      <c r="DJ39" s="704"/>
      <c r="DK39" s="704"/>
      <c r="DL39" s="704"/>
      <c r="DM39" s="704"/>
      <c r="DN39" s="704"/>
      <c r="DO39" s="704"/>
      <c r="DP39" s="704"/>
      <c r="DQ39" s="704"/>
      <c r="DR39" s="704"/>
      <c r="DS39" s="704"/>
      <c r="DT39" s="704"/>
      <c r="DU39" s="704"/>
      <c r="DV39" s="704"/>
      <c r="DW39" s="704"/>
      <c r="DX39" s="704"/>
      <c r="DY39" s="704"/>
      <c r="DZ39" s="704"/>
      <c r="EA39" s="704"/>
      <c r="EB39" s="704"/>
      <c r="EC39" s="704"/>
      <c r="ED39" s="704"/>
      <c r="EE39" s="704"/>
      <c r="EF39" s="704"/>
      <c r="EG39" s="704"/>
      <c r="EH39" s="704"/>
      <c r="EI39" s="704"/>
      <c r="EJ39" s="704"/>
      <c r="EK39" s="704"/>
      <c r="EL39" s="704"/>
      <c r="EM39" s="704"/>
      <c r="EN39" s="704"/>
      <c r="EO39" s="704"/>
      <c r="EP39" s="704"/>
      <c r="EQ39" s="704"/>
      <c r="ER39" s="704"/>
      <c r="ES39" s="704"/>
      <c r="ET39" s="704"/>
      <c r="EU39" s="704"/>
      <c r="EV39" s="704"/>
      <c r="EW39" s="704"/>
      <c r="EX39" s="704"/>
      <c r="EY39" s="704"/>
      <c r="EZ39" s="704"/>
      <c r="FA39" s="704"/>
      <c r="FB39" s="704"/>
      <c r="FC39" s="704"/>
      <c r="FD39" s="704"/>
      <c r="FE39" s="704"/>
      <c r="FF39" s="704"/>
      <c r="FG39" s="704"/>
      <c r="FH39" s="704"/>
      <c r="FI39" s="704"/>
      <c r="FJ39" s="704"/>
      <c r="FK39" s="704"/>
      <c r="FL39" s="704"/>
      <c r="FM39" s="704"/>
      <c r="FN39" s="704"/>
      <c r="FO39" s="704"/>
      <c r="FP39" s="704"/>
      <c r="FQ39" s="704"/>
      <c r="FR39" s="704"/>
      <c r="FS39" s="704"/>
      <c r="FT39" s="704"/>
      <c r="FU39" s="704"/>
      <c r="FV39" s="704"/>
      <c r="FW39" s="704"/>
      <c r="FX39" s="704"/>
      <c r="FY39" s="704"/>
      <c r="FZ39" s="704"/>
      <c r="GA39" s="704"/>
      <c r="GB39" s="704"/>
      <c r="GC39" s="704"/>
      <c r="GD39" s="704"/>
      <c r="GE39" s="704"/>
      <c r="GF39" s="704"/>
      <c r="GG39" s="704"/>
      <c r="GH39" s="704"/>
      <c r="GI39" s="704"/>
      <c r="GJ39" s="704"/>
      <c r="GK39" s="704"/>
      <c r="GL39" s="704"/>
      <c r="GM39" s="704"/>
      <c r="GN39" s="704"/>
      <c r="GO39" s="704"/>
      <c r="GP39" s="704"/>
      <c r="GQ39" s="704"/>
      <c r="GR39" s="704"/>
      <c r="GS39" s="704"/>
      <c r="GT39" s="704"/>
      <c r="GU39" s="704"/>
      <c r="GV39" s="704"/>
      <c r="GW39" s="704"/>
      <c r="GX39" s="704"/>
      <c r="GY39" s="704"/>
      <c r="GZ39" s="704"/>
      <c r="HA39" s="704"/>
      <c r="HB39" s="704"/>
      <c r="HC39" s="704"/>
      <c r="HD39" s="704"/>
      <c r="HE39" s="704"/>
      <c r="HF39" s="704"/>
      <c r="HG39" s="704"/>
      <c r="HH39" s="704"/>
      <c r="HI39" s="704"/>
      <c r="HJ39" s="704"/>
      <c r="HK39" s="704"/>
      <c r="HL39" s="704"/>
      <c r="HM39" s="704"/>
      <c r="HN39" s="704"/>
      <c r="HO39" s="704"/>
      <c r="HP39" s="704"/>
      <c r="HQ39" s="704"/>
      <c r="HR39" s="704"/>
      <c r="HS39" s="704"/>
      <c r="HT39" s="704"/>
      <c r="HU39" s="704"/>
      <c r="HV39" s="704"/>
      <c r="HW39" s="704"/>
      <c r="HX39" s="704"/>
      <c r="HY39" s="704"/>
      <c r="HZ39" s="704"/>
      <c r="IA39" s="704"/>
      <c r="IB39" s="704"/>
      <c r="IC39" s="704"/>
      <c r="ID39" s="704"/>
      <c r="IE39" s="704"/>
      <c r="IF39" s="704"/>
      <c r="IG39" s="704"/>
      <c r="IH39" s="704"/>
      <c r="II39" s="704"/>
      <c r="IJ39" s="704"/>
      <c r="IK39" s="704"/>
      <c r="IL39" s="704"/>
      <c r="IM39" s="704"/>
      <c r="IN39" s="704"/>
      <c r="IO39" s="704"/>
      <c r="IP39" s="704"/>
      <c r="IQ39" s="704"/>
      <c r="IR39" s="704"/>
      <c r="IS39" s="704"/>
      <c r="IT39" s="704"/>
      <c r="IU39" s="704"/>
      <c r="IV39" s="704"/>
      <c r="IW39" s="704"/>
      <c r="IX39" s="704"/>
      <c r="IY39" s="704"/>
      <c r="IZ39" s="704"/>
      <c r="JA39" s="704"/>
      <c r="JB39" s="704"/>
      <c r="JC39" s="704"/>
      <c r="JD39" s="704"/>
      <c r="JE39" s="704"/>
      <c r="JF39" s="704"/>
      <c r="JG39" s="704"/>
      <c r="JH39" s="704"/>
      <c r="JI39" s="704"/>
      <c r="JJ39" s="704"/>
      <c r="JK39" s="704"/>
      <c r="JL39" s="704"/>
      <c r="JM39" s="704"/>
      <c r="JN39" s="704"/>
      <c r="JO39" s="704"/>
      <c r="JP39" s="704"/>
      <c r="JQ39" s="704"/>
      <c r="JR39" s="704"/>
      <c r="JS39" s="704"/>
      <c r="JT39" s="704"/>
      <c r="JU39" s="704"/>
      <c r="JV39" s="704"/>
      <c r="JW39" s="704"/>
      <c r="JX39" s="704"/>
      <c r="JY39" s="704"/>
      <c r="JZ39" s="704"/>
      <c r="KA39" s="704"/>
      <c r="KB39" s="704"/>
      <c r="KC39" s="704"/>
      <c r="KD39" s="704"/>
      <c r="KE39" s="704"/>
      <c r="KF39" s="704"/>
      <c r="KG39" s="704"/>
      <c r="KH39" s="704"/>
      <c r="KI39" s="704"/>
      <c r="KJ39" s="704"/>
      <c r="KK39" s="704"/>
      <c r="KL39" s="704"/>
      <c r="KM39" s="704"/>
      <c r="KN39" s="704"/>
      <c r="KO39" s="704"/>
      <c r="KP39" s="704"/>
      <c r="KQ39" s="704"/>
      <c r="KR39" s="704"/>
      <c r="KS39" s="704"/>
      <c r="KT39" s="704"/>
      <c r="KU39" s="704"/>
      <c r="KV39" s="704"/>
      <c r="KW39" s="704"/>
      <c r="KX39" s="704"/>
      <c r="KY39" s="704"/>
      <c r="KZ39" s="704"/>
      <c r="LA39" s="704"/>
      <c r="LB39" s="704"/>
      <c r="LC39" s="704"/>
      <c r="LD39" s="704"/>
      <c r="LE39" s="704"/>
      <c r="LF39" s="704"/>
      <c r="LG39" s="704"/>
      <c r="LH39" s="704"/>
      <c r="LI39" s="704"/>
      <c r="LJ39" s="704"/>
      <c r="LK39" s="704"/>
      <c r="LL39" s="704"/>
      <c r="LM39" s="704"/>
      <c r="LN39" s="704"/>
      <c r="LO39" s="704"/>
      <c r="LP39" s="704"/>
      <c r="LQ39" s="704"/>
      <c r="LR39" s="704"/>
      <c r="LS39" s="704"/>
      <c r="LT39" s="704"/>
      <c r="LU39" s="704"/>
      <c r="LV39" s="704"/>
      <c r="LW39" s="704"/>
      <c r="LX39" s="704"/>
      <c r="LY39" s="704"/>
      <c r="LZ39" s="704"/>
      <c r="MA39" s="704"/>
      <c r="MB39" s="704"/>
      <c r="MC39" s="704"/>
      <c r="MD39" s="704"/>
      <c r="ME39" s="704"/>
      <c r="MF39" s="704"/>
      <c r="MG39" s="704"/>
      <c r="MH39" s="704"/>
      <c r="MI39" s="704"/>
      <c r="MJ39" s="704"/>
      <c r="MK39" s="704"/>
      <c r="ML39" s="704"/>
      <c r="MM39" s="704"/>
      <c r="MN39" s="704"/>
      <c r="MO39" s="704"/>
      <c r="MP39" s="704"/>
      <c r="MQ39" s="704"/>
      <c r="MR39" s="704"/>
      <c r="MS39" s="704"/>
      <c r="MT39" s="704"/>
      <c r="MU39" s="704"/>
      <c r="MV39" s="704"/>
      <c r="MW39" s="704"/>
      <c r="MX39" s="704"/>
      <c r="MY39" s="704"/>
      <c r="MZ39" s="704"/>
      <c r="NA39" s="704"/>
      <c r="NB39" s="704"/>
      <c r="NC39" s="704"/>
      <c r="ND39" s="704"/>
      <c r="NE39" s="704"/>
      <c r="NF39" s="704"/>
      <c r="NG39" s="704"/>
      <c r="NH39" s="704"/>
      <c r="NI39" s="704"/>
      <c r="NJ39" s="704"/>
      <c r="NK39" s="704"/>
      <c r="NL39" s="704"/>
      <c r="NM39" s="704"/>
      <c r="NN39" s="704"/>
      <c r="NO39" s="704"/>
      <c r="NP39" s="704"/>
      <c r="NQ39" s="704"/>
      <c r="NR39" s="704"/>
      <c r="NS39" s="704"/>
      <c r="NT39" s="704"/>
      <c r="NU39" s="704"/>
      <c r="NV39" s="704"/>
      <c r="NW39" s="704"/>
      <c r="NX39" s="704"/>
      <c r="NY39" s="704"/>
      <c r="NZ39" s="704"/>
      <c r="OA39" s="704"/>
      <c r="OB39" s="704"/>
      <c r="OC39" s="704"/>
      <c r="OD39" s="704"/>
      <c r="OE39" s="704"/>
      <c r="OF39" s="704"/>
      <c r="OG39" s="704"/>
      <c r="OH39" s="704"/>
      <c r="OI39" s="704"/>
      <c r="OJ39" s="704"/>
      <c r="OK39" s="704"/>
      <c r="OL39" s="704"/>
      <c r="OM39" s="704"/>
      <c r="ON39" s="704"/>
      <c r="OO39" s="704"/>
      <c r="OP39" s="704"/>
      <c r="OQ39" s="704"/>
      <c r="OR39" s="704"/>
      <c r="OS39" s="704"/>
      <c r="OT39" s="704"/>
      <c r="OU39" s="704"/>
      <c r="OV39" s="704"/>
      <c r="OW39" s="704"/>
      <c r="OX39" s="704"/>
      <c r="OY39" s="704"/>
      <c r="OZ39" s="704"/>
      <c r="PA39" s="704"/>
      <c r="PB39" s="704"/>
      <c r="PC39" s="704"/>
      <c r="PD39" s="704"/>
      <c r="PE39" s="704"/>
      <c r="PF39" s="704"/>
      <c r="PG39" s="704"/>
      <c r="PH39" s="704"/>
      <c r="PI39" s="704"/>
      <c r="PJ39" s="704"/>
      <c r="PK39" s="704"/>
      <c r="PL39" s="704"/>
      <c r="PM39" s="704"/>
      <c r="PN39" s="704"/>
      <c r="PO39" s="704"/>
      <c r="PP39" s="704"/>
      <c r="PQ39" s="704"/>
      <c r="PR39" s="704"/>
      <c r="PS39" s="704"/>
      <c r="PT39" s="704"/>
      <c r="PU39" s="704"/>
      <c r="PV39" s="704"/>
      <c r="PW39" s="704"/>
      <c r="PX39" s="704"/>
      <c r="PY39" s="704"/>
      <c r="PZ39" s="704"/>
      <c r="QA39" s="704"/>
      <c r="QB39" s="704"/>
      <c r="QC39" s="704"/>
      <c r="QD39" s="704"/>
      <c r="QE39" s="704"/>
      <c r="QF39" s="704"/>
      <c r="QG39" s="704"/>
      <c r="QH39" s="704"/>
      <c r="QI39" s="704"/>
      <c r="QJ39" s="704"/>
      <c r="QK39" s="704"/>
      <c r="QL39" s="704"/>
      <c r="QM39" s="704"/>
      <c r="QN39" s="704"/>
      <c r="QO39" s="704"/>
      <c r="QP39" s="704"/>
      <c r="QQ39" s="704"/>
      <c r="QR39" s="704"/>
      <c r="QS39" s="704"/>
      <c r="QT39" s="704"/>
      <c r="QU39" s="704"/>
      <c r="QV39" s="704"/>
      <c r="QW39" s="704"/>
      <c r="QX39" s="704"/>
      <c r="QY39" s="704"/>
      <c r="QZ39" s="704"/>
      <c r="RA39" s="704"/>
      <c r="RB39" s="704"/>
      <c r="RC39" s="704"/>
      <c r="RD39" s="704"/>
      <c r="RE39" s="704"/>
      <c r="RF39" s="704"/>
      <c r="RG39" s="704"/>
      <c r="RH39" s="704"/>
      <c r="RI39" s="704"/>
      <c r="RJ39" s="704"/>
      <c r="RK39" s="704"/>
      <c r="RL39" s="704"/>
      <c r="RM39" s="704"/>
      <c r="RN39" s="704"/>
      <c r="RO39" s="704"/>
      <c r="RP39" s="704"/>
      <c r="RQ39" s="704"/>
      <c r="RR39" s="704"/>
      <c r="RS39" s="704"/>
      <c r="RT39" s="704"/>
      <c r="RU39" s="704"/>
      <c r="RV39" s="704"/>
      <c r="RW39" s="704"/>
      <c r="RX39" s="704"/>
      <c r="RY39" s="704"/>
      <c r="RZ39" s="704"/>
      <c r="SA39" s="704"/>
      <c r="SB39" s="704"/>
      <c r="SC39" s="704"/>
      <c r="SD39" s="704"/>
      <c r="SE39" s="704"/>
      <c r="SF39" s="704"/>
      <c r="SG39" s="704"/>
      <c r="SH39" s="704"/>
      <c r="SI39" s="704"/>
      <c r="SJ39" s="704"/>
      <c r="SK39" s="704"/>
      <c r="SL39" s="704"/>
      <c r="SM39" s="704"/>
      <c r="SN39" s="704"/>
      <c r="SO39" s="704"/>
      <c r="SP39" s="704"/>
      <c r="SQ39" s="704"/>
      <c r="SR39" s="704"/>
      <c r="SS39" s="704"/>
      <c r="ST39" s="704"/>
      <c r="SU39" s="704"/>
      <c r="SV39" s="704"/>
      <c r="SW39" s="704"/>
      <c r="SX39" s="704"/>
      <c r="SY39" s="704"/>
      <c r="SZ39" s="704"/>
      <c r="TA39" s="704"/>
      <c r="TB39" s="704"/>
      <c r="TC39" s="704"/>
      <c r="TD39" s="704"/>
      <c r="TE39" s="704"/>
      <c r="TF39" s="704"/>
      <c r="TG39" s="704"/>
      <c r="TH39" s="704"/>
      <c r="TI39" s="704"/>
      <c r="TJ39" s="704"/>
      <c r="TK39" s="704"/>
      <c r="TL39" s="704"/>
      <c r="TM39" s="704"/>
      <c r="TN39" s="704"/>
      <c r="TO39" s="704"/>
      <c r="TP39" s="704"/>
      <c r="TQ39" s="704"/>
      <c r="TR39" s="704"/>
      <c r="TS39" s="704"/>
      <c r="TT39" s="704"/>
      <c r="TU39" s="704"/>
      <c r="TV39" s="704"/>
      <c r="TW39" s="704"/>
      <c r="TX39" s="704"/>
      <c r="TY39" s="704"/>
      <c r="TZ39" s="704"/>
      <c r="UA39" s="704"/>
      <c r="UB39" s="704"/>
      <c r="UC39" s="704"/>
      <c r="UD39" s="704"/>
      <c r="UE39" s="704"/>
      <c r="UF39" s="704"/>
      <c r="UG39" s="704"/>
      <c r="UH39" s="704"/>
      <c r="UI39" s="704"/>
      <c r="UJ39" s="704"/>
      <c r="UK39" s="704"/>
      <c r="UL39" s="704"/>
      <c r="UM39" s="704"/>
      <c r="UN39" s="704"/>
      <c r="UO39" s="704"/>
      <c r="UP39" s="704"/>
      <c r="UQ39" s="704"/>
      <c r="UR39" s="704"/>
      <c r="US39" s="704"/>
      <c r="UT39" s="704"/>
      <c r="UU39" s="704"/>
      <c r="UV39" s="704"/>
      <c r="UW39" s="704"/>
      <c r="UX39" s="704"/>
      <c r="UY39" s="704"/>
      <c r="UZ39" s="704"/>
      <c r="VA39" s="704"/>
      <c r="VB39" s="704"/>
      <c r="VC39" s="704"/>
      <c r="VD39" s="704"/>
      <c r="VE39" s="704"/>
      <c r="VF39" s="704"/>
      <c r="VG39" s="704"/>
      <c r="VH39" s="704"/>
      <c r="VI39" s="704"/>
      <c r="VJ39" s="704"/>
      <c r="VK39" s="704"/>
      <c r="VL39" s="704"/>
      <c r="VM39" s="704"/>
      <c r="VN39" s="704"/>
      <c r="VO39" s="704"/>
      <c r="VP39" s="704"/>
      <c r="VQ39" s="704"/>
      <c r="VR39" s="704"/>
      <c r="VS39" s="704"/>
      <c r="VT39" s="704"/>
      <c r="VU39" s="704"/>
      <c r="VV39" s="704"/>
      <c r="VW39" s="704"/>
      <c r="VX39" s="704"/>
      <c r="VY39" s="704"/>
      <c r="VZ39" s="704"/>
      <c r="WA39" s="704"/>
      <c r="WB39" s="704"/>
      <c r="WC39" s="704"/>
      <c r="WD39" s="704"/>
      <c r="WE39" s="704"/>
      <c r="WF39" s="704"/>
      <c r="WG39" s="704"/>
      <c r="WH39" s="704"/>
      <c r="WI39" s="704"/>
      <c r="WJ39" s="704"/>
      <c r="WK39" s="704"/>
      <c r="WL39" s="704"/>
      <c r="WM39" s="704"/>
      <c r="WN39" s="704"/>
      <c r="WO39" s="704"/>
      <c r="WP39" s="704"/>
      <c r="WQ39" s="704"/>
      <c r="WR39" s="704"/>
      <c r="WS39" s="704"/>
      <c r="WT39" s="704"/>
      <c r="WU39" s="704"/>
      <c r="WV39" s="704"/>
      <c r="WW39" s="704"/>
      <c r="WX39" s="704"/>
      <c r="WY39" s="704"/>
      <c r="WZ39" s="704"/>
      <c r="XA39" s="704"/>
      <c r="XB39" s="704"/>
      <c r="XC39" s="704"/>
      <c r="XD39" s="704"/>
      <c r="XE39" s="704"/>
      <c r="XF39" s="704"/>
      <c r="XG39" s="704"/>
      <c r="XH39" s="704"/>
      <c r="XI39" s="704"/>
      <c r="XJ39" s="704"/>
      <c r="XK39" s="704"/>
      <c r="XL39" s="704"/>
      <c r="XM39" s="704"/>
      <c r="XN39" s="704"/>
      <c r="XO39" s="704"/>
      <c r="XP39" s="704"/>
      <c r="XQ39" s="704"/>
      <c r="XR39" s="704"/>
      <c r="XS39" s="704"/>
      <c r="XT39" s="704"/>
      <c r="XU39" s="704"/>
      <c r="XV39" s="704"/>
      <c r="XW39" s="704"/>
      <c r="XX39" s="704"/>
      <c r="XY39" s="704"/>
      <c r="XZ39" s="704"/>
      <c r="YA39" s="704"/>
      <c r="YB39" s="704"/>
      <c r="YC39" s="704"/>
      <c r="YD39" s="704"/>
      <c r="YE39" s="704"/>
      <c r="YF39" s="704"/>
      <c r="YG39" s="704"/>
      <c r="YH39" s="704"/>
      <c r="YI39" s="704"/>
      <c r="YJ39" s="704"/>
      <c r="YK39" s="704"/>
      <c r="YL39" s="704"/>
      <c r="YM39" s="704"/>
      <c r="YN39" s="704"/>
      <c r="YO39" s="704"/>
      <c r="YP39" s="704"/>
      <c r="YQ39" s="704"/>
      <c r="YR39" s="704"/>
      <c r="YS39" s="704"/>
      <c r="YT39" s="704"/>
      <c r="YU39" s="704"/>
      <c r="YV39" s="704"/>
      <c r="YW39" s="704"/>
      <c r="YX39" s="704"/>
      <c r="YY39" s="704"/>
      <c r="YZ39" s="704"/>
      <c r="ZA39" s="704"/>
      <c r="ZB39" s="704"/>
      <c r="ZC39" s="704"/>
      <c r="ZD39" s="704"/>
      <c r="ZE39" s="704"/>
      <c r="ZF39" s="704"/>
      <c r="ZG39" s="704"/>
      <c r="ZH39" s="704"/>
      <c r="ZI39" s="704"/>
      <c r="ZJ39" s="704"/>
      <c r="ZK39" s="704"/>
      <c r="ZL39" s="704"/>
      <c r="ZM39" s="704"/>
      <c r="ZN39" s="704"/>
      <c r="ZO39" s="704"/>
      <c r="ZP39" s="704"/>
      <c r="ZQ39" s="704"/>
      <c r="ZR39" s="704"/>
      <c r="ZS39" s="704"/>
      <c r="ZT39" s="704"/>
      <c r="ZU39" s="704"/>
      <c r="ZV39" s="704"/>
      <c r="ZW39" s="704"/>
      <c r="ZX39" s="704"/>
      <c r="ZY39" s="704"/>
      <c r="ZZ39" s="704"/>
      <c r="AAA39" s="704"/>
      <c r="AAB39" s="704"/>
      <c r="AAC39" s="704"/>
      <c r="AAD39" s="704"/>
      <c r="AAE39" s="704"/>
      <c r="AAF39" s="704"/>
      <c r="AAG39" s="704"/>
      <c r="AAH39" s="704"/>
      <c r="AAI39" s="704"/>
      <c r="AAJ39" s="704"/>
      <c r="AAK39" s="704"/>
      <c r="AAL39" s="704"/>
      <c r="AAM39" s="704"/>
      <c r="AAN39" s="704"/>
      <c r="AAO39" s="704"/>
      <c r="AAP39" s="704"/>
      <c r="AAQ39" s="704"/>
      <c r="AAR39" s="704"/>
      <c r="AAS39" s="704"/>
      <c r="AAT39" s="704"/>
      <c r="AAU39" s="704"/>
      <c r="AAV39" s="704"/>
      <c r="AAW39" s="704"/>
      <c r="AAX39" s="704"/>
      <c r="AAY39" s="704"/>
      <c r="AAZ39" s="704"/>
      <c r="ABA39" s="704"/>
      <c r="ABB39" s="704"/>
      <c r="ABC39" s="704"/>
      <c r="ABD39" s="704"/>
      <c r="ABE39" s="704"/>
      <c r="ABF39" s="704"/>
      <c r="ABG39" s="704"/>
      <c r="ABH39" s="704"/>
      <c r="ABI39" s="704"/>
      <c r="ABJ39" s="704"/>
      <c r="ABK39" s="704"/>
      <c r="ABL39" s="704"/>
      <c r="ABM39" s="704"/>
      <c r="ABN39" s="704"/>
      <c r="ABO39" s="704"/>
      <c r="ABP39" s="704"/>
      <c r="ABQ39" s="704"/>
      <c r="ABR39" s="704"/>
      <c r="ABS39" s="704"/>
      <c r="ABT39" s="704"/>
      <c r="ABU39" s="704"/>
      <c r="ABV39" s="704"/>
      <c r="ABW39" s="704"/>
      <c r="ABX39" s="704"/>
      <c r="ABY39" s="704"/>
      <c r="ABZ39" s="704"/>
      <c r="ACA39" s="704"/>
      <c r="ACB39" s="704"/>
      <c r="ACC39" s="704"/>
      <c r="ACD39" s="704"/>
      <c r="ACE39" s="704"/>
      <c r="ACF39" s="704"/>
      <c r="ACG39" s="704"/>
      <c r="ACH39" s="704"/>
      <c r="ACI39" s="704"/>
      <c r="ACJ39" s="704"/>
      <c r="ACK39" s="704"/>
      <c r="ACL39" s="704"/>
      <c r="ACM39" s="704"/>
      <c r="ACN39" s="704"/>
      <c r="ACO39" s="704"/>
      <c r="ACP39" s="704"/>
      <c r="ACQ39" s="704"/>
      <c r="ACR39" s="704"/>
      <c r="ACS39" s="704"/>
      <c r="ACT39" s="704"/>
      <c r="ACU39" s="704"/>
      <c r="ACV39" s="704"/>
      <c r="ACW39" s="704"/>
      <c r="ACX39" s="704"/>
      <c r="ACY39" s="704"/>
      <c r="ACZ39" s="704"/>
      <c r="ADA39" s="704"/>
      <c r="ADB39" s="704"/>
      <c r="ADC39" s="704"/>
      <c r="ADD39" s="704"/>
      <c r="ADE39" s="704"/>
      <c r="ADF39" s="704"/>
      <c r="ADG39" s="704"/>
      <c r="ADH39" s="704"/>
      <c r="ADI39" s="704"/>
      <c r="ADJ39" s="704"/>
      <c r="ADK39" s="704"/>
      <c r="ADL39" s="704"/>
      <c r="ADM39" s="704"/>
      <c r="ADN39" s="704"/>
      <c r="ADO39" s="704"/>
      <c r="ADP39" s="704"/>
      <c r="ADQ39" s="704"/>
      <c r="ADR39" s="704"/>
      <c r="ADS39" s="704"/>
      <c r="ADT39" s="704"/>
      <c r="ADU39" s="704"/>
      <c r="ADV39" s="704"/>
      <c r="ADW39" s="704"/>
      <c r="ADX39" s="704"/>
      <c r="ADY39" s="704"/>
      <c r="ADZ39" s="704"/>
      <c r="AEA39" s="704"/>
      <c r="AEB39" s="704"/>
      <c r="AEC39" s="704"/>
      <c r="AED39" s="704"/>
      <c r="AEE39" s="704"/>
      <c r="AEF39" s="704"/>
      <c r="AEG39" s="704"/>
      <c r="AEH39" s="704"/>
      <c r="AEI39" s="704"/>
      <c r="AEJ39" s="704"/>
      <c r="AEK39" s="704"/>
      <c r="AEL39" s="704"/>
      <c r="AEM39" s="704"/>
      <c r="AEN39" s="704"/>
      <c r="AEO39" s="704"/>
      <c r="AEP39" s="704"/>
      <c r="AEQ39" s="704"/>
      <c r="AER39" s="704"/>
      <c r="AES39" s="704"/>
      <c r="AET39" s="704"/>
      <c r="AEU39" s="704"/>
      <c r="AEV39" s="704"/>
      <c r="AEW39" s="704"/>
      <c r="AEX39" s="704"/>
      <c r="AEY39" s="704"/>
      <c r="AEZ39" s="704"/>
      <c r="AFA39" s="704"/>
      <c r="AFB39" s="704"/>
      <c r="AFC39" s="704"/>
      <c r="AFD39" s="704"/>
      <c r="AFE39" s="704"/>
      <c r="AFF39" s="704"/>
      <c r="AFG39" s="704"/>
      <c r="AFH39" s="704"/>
      <c r="AFI39" s="704"/>
      <c r="AFJ39" s="704"/>
      <c r="AFK39" s="704"/>
      <c r="AFL39" s="704"/>
      <c r="AFM39" s="704"/>
      <c r="AFN39" s="704"/>
      <c r="AFO39" s="704"/>
      <c r="AFP39" s="704"/>
      <c r="AFQ39" s="704"/>
      <c r="AFR39" s="704"/>
      <c r="AFS39" s="704"/>
      <c r="AFT39" s="704"/>
      <c r="AFU39" s="704"/>
      <c r="AFV39" s="704"/>
      <c r="AFW39" s="704"/>
      <c r="AFX39" s="704"/>
      <c r="AFY39" s="704"/>
      <c r="AFZ39" s="704"/>
      <c r="AGA39" s="704"/>
      <c r="AGB39" s="704"/>
      <c r="AGC39" s="704"/>
      <c r="AGD39" s="704"/>
      <c r="AGE39" s="704"/>
      <c r="AGF39" s="704"/>
      <c r="AGG39" s="704"/>
      <c r="AGH39" s="704"/>
      <c r="AGI39" s="704"/>
      <c r="AGJ39" s="704"/>
      <c r="AGK39" s="704"/>
      <c r="AGL39" s="704"/>
      <c r="AGM39" s="704"/>
      <c r="AGN39" s="704"/>
      <c r="AGO39" s="704"/>
      <c r="AGP39" s="704"/>
      <c r="AGQ39" s="704"/>
      <c r="AGR39" s="704"/>
      <c r="AGS39" s="704"/>
      <c r="AGT39" s="704"/>
      <c r="AGU39" s="704"/>
      <c r="AGV39" s="704"/>
      <c r="AGW39" s="704"/>
      <c r="AGX39" s="704"/>
      <c r="AGY39" s="704"/>
      <c r="AGZ39" s="704"/>
      <c r="AHA39" s="704"/>
      <c r="AHB39" s="704"/>
      <c r="AHC39" s="704"/>
      <c r="AHD39" s="704"/>
      <c r="AHE39" s="704"/>
      <c r="AHF39" s="704"/>
      <c r="AHG39" s="704"/>
      <c r="AHH39" s="704"/>
      <c r="AHI39" s="704"/>
      <c r="AHJ39" s="704"/>
      <c r="AHK39" s="704"/>
      <c r="AHL39" s="704"/>
      <c r="AHM39" s="704"/>
      <c r="AHN39" s="704"/>
      <c r="AHO39" s="704"/>
      <c r="AHP39" s="704"/>
      <c r="AHQ39" s="704"/>
      <c r="AHR39" s="704"/>
      <c r="AHS39" s="704"/>
      <c r="AHT39" s="704"/>
      <c r="AHU39" s="704"/>
      <c r="AHV39" s="704"/>
      <c r="AHW39" s="704"/>
      <c r="AHX39" s="704"/>
      <c r="AHY39" s="704"/>
      <c r="AHZ39" s="704"/>
      <c r="AIA39" s="704"/>
      <c r="AIB39" s="704"/>
      <c r="AIC39" s="704"/>
      <c r="AID39" s="704"/>
      <c r="AIE39" s="704"/>
      <c r="AIF39" s="704"/>
      <c r="AIG39" s="704"/>
      <c r="AIH39" s="704"/>
      <c r="AII39" s="704"/>
      <c r="AIJ39" s="704"/>
      <c r="AIK39" s="704"/>
      <c r="AIL39" s="704"/>
      <c r="AIM39" s="704"/>
      <c r="AIN39" s="704"/>
      <c r="AIO39" s="704"/>
      <c r="AIP39" s="704"/>
      <c r="AIQ39" s="704"/>
      <c r="AIR39" s="704"/>
      <c r="AIS39" s="704"/>
      <c r="AIT39" s="704"/>
      <c r="AIU39" s="704"/>
      <c r="AIV39" s="704"/>
      <c r="AIW39" s="704"/>
      <c r="AIX39" s="704"/>
      <c r="AIY39" s="704"/>
      <c r="AIZ39" s="704"/>
      <c r="AJA39" s="704"/>
      <c r="AJB39" s="704"/>
      <c r="AJC39" s="704"/>
      <c r="AJD39" s="704"/>
      <c r="AJE39" s="704"/>
      <c r="AJF39" s="704"/>
      <c r="AJG39" s="704"/>
      <c r="AJH39" s="704"/>
      <c r="AJI39" s="704"/>
      <c r="AJJ39" s="704"/>
      <c r="AJK39" s="704"/>
      <c r="AJL39" s="704"/>
      <c r="AJM39" s="704"/>
      <c r="AJN39" s="704"/>
      <c r="AJO39" s="704"/>
      <c r="AJP39" s="704"/>
      <c r="AJQ39" s="704"/>
      <c r="AJR39" s="704"/>
      <c r="AJS39" s="704"/>
      <c r="AJT39" s="704"/>
      <c r="AJU39" s="704"/>
      <c r="AJV39" s="704"/>
      <c r="AJW39" s="704"/>
      <c r="AJX39" s="704"/>
      <c r="AJY39" s="704"/>
      <c r="AJZ39" s="704"/>
      <c r="AKA39" s="704"/>
      <c r="AKB39" s="704"/>
      <c r="AKC39" s="704"/>
      <c r="AKD39" s="704"/>
      <c r="AKE39" s="704"/>
      <c r="AKF39" s="704"/>
      <c r="AKG39" s="704"/>
      <c r="AKH39" s="704"/>
      <c r="AKI39" s="704"/>
      <c r="AKJ39" s="704"/>
      <c r="AKK39" s="704"/>
      <c r="AKL39" s="704"/>
      <c r="AKM39" s="704"/>
      <c r="AKN39" s="704"/>
      <c r="AKO39" s="704"/>
      <c r="AKP39" s="704"/>
      <c r="AKQ39" s="704"/>
      <c r="AKR39" s="704"/>
      <c r="AKS39" s="704"/>
      <c r="AKT39" s="704"/>
      <c r="AKU39" s="704"/>
      <c r="AKV39" s="704"/>
      <c r="AKW39" s="704"/>
      <c r="AKX39" s="704"/>
      <c r="AKY39" s="704"/>
      <c r="AKZ39" s="704"/>
      <c r="ALA39" s="704"/>
      <c r="ALB39" s="704"/>
      <c r="ALC39" s="704"/>
      <c r="ALD39" s="704"/>
      <c r="ALE39" s="704"/>
      <c r="ALF39" s="704"/>
      <c r="ALG39" s="704"/>
      <c r="ALH39" s="704"/>
      <c r="ALI39" s="704"/>
      <c r="ALJ39" s="704"/>
      <c r="ALK39" s="704"/>
      <c r="ALL39" s="704"/>
      <c r="ALM39" s="704"/>
      <c r="ALN39" s="704"/>
      <c r="ALO39" s="704"/>
      <c r="ALP39" s="704"/>
      <c r="ALQ39" s="704"/>
      <c r="ALR39" s="704"/>
      <c r="ALS39" s="704"/>
      <c r="ALT39" s="704"/>
      <c r="ALU39" s="704"/>
      <c r="ALV39" s="704"/>
      <c r="ALW39" s="704"/>
      <c r="ALX39" s="704"/>
      <c r="ALY39" s="704"/>
      <c r="ALZ39" s="704"/>
      <c r="AMA39" s="704"/>
      <c r="AMB39" s="704"/>
      <c r="AMC39" s="704"/>
      <c r="AMD39" s="704"/>
      <c r="AME39" s="704"/>
      <c r="AMF39" s="704"/>
      <c r="AMG39" s="704"/>
      <c r="AMH39" s="704"/>
      <c r="AMI39" s="704"/>
      <c r="AMJ39" s="704"/>
      <c r="AMK39" s="704"/>
      <c r="AML39" s="704"/>
      <c r="AMM39" s="704"/>
      <c r="AMN39" s="704"/>
      <c r="AMO39" s="704"/>
      <c r="AMP39" s="704"/>
      <c r="AMQ39" s="704"/>
      <c r="AMR39" s="704"/>
      <c r="AMS39" s="704"/>
      <c r="AMT39" s="704"/>
      <c r="AMU39" s="704"/>
      <c r="AMV39" s="704"/>
      <c r="AMW39" s="704"/>
      <c r="AMX39" s="704"/>
      <c r="AMY39" s="704"/>
      <c r="AMZ39" s="704"/>
      <c r="ANA39" s="704"/>
      <c r="ANB39" s="704"/>
      <c r="ANC39" s="704"/>
      <c r="AND39" s="704"/>
      <c r="ANE39" s="704"/>
      <c r="ANF39" s="704"/>
      <c r="ANG39" s="704"/>
      <c r="ANH39" s="704"/>
      <c r="ANI39" s="704"/>
      <c r="ANJ39" s="704"/>
      <c r="ANK39" s="704"/>
      <c r="ANL39" s="704"/>
      <c r="ANM39" s="704"/>
      <c r="ANN39" s="704"/>
      <c r="ANO39" s="704"/>
      <c r="ANP39" s="704"/>
      <c r="ANQ39" s="704"/>
      <c r="ANR39" s="704"/>
      <c r="ANS39" s="704"/>
      <c r="ANT39" s="704"/>
      <c r="ANU39" s="704"/>
      <c r="ANV39" s="704"/>
      <c r="ANW39" s="704"/>
      <c r="ANX39" s="704"/>
      <c r="ANY39" s="704"/>
      <c r="ANZ39" s="704"/>
      <c r="AOA39" s="704"/>
      <c r="AOB39" s="704"/>
      <c r="AOC39" s="704"/>
      <c r="AOD39" s="704"/>
      <c r="AOE39" s="704"/>
      <c r="AOF39" s="704"/>
      <c r="AOG39" s="704"/>
      <c r="AOH39" s="704"/>
      <c r="AOI39" s="704"/>
      <c r="AOJ39" s="704"/>
      <c r="AOK39" s="704"/>
      <c r="AOL39" s="704"/>
      <c r="AOM39" s="704"/>
      <c r="AON39" s="704"/>
      <c r="AOO39" s="704"/>
      <c r="AOP39" s="704"/>
      <c r="AOQ39" s="704"/>
      <c r="AOR39" s="704"/>
      <c r="AOS39" s="704"/>
      <c r="AOT39" s="704"/>
      <c r="AOU39" s="704"/>
      <c r="AOV39" s="704"/>
      <c r="AOW39" s="704"/>
      <c r="AOX39" s="704"/>
      <c r="AOY39" s="704"/>
      <c r="AOZ39" s="704"/>
      <c r="APA39" s="704"/>
      <c r="APB39" s="704"/>
      <c r="APC39" s="704"/>
      <c r="APD39" s="704"/>
      <c r="APE39" s="704"/>
      <c r="APF39" s="704"/>
      <c r="APG39" s="704"/>
      <c r="APH39" s="704"/>
      <c r="API39" s="704"/>
      <c r="APJ39" s="704"/>
      <c r="APK39" s="704"/>
      <c r="APL39" s="704"/>
      <c r="APM39" s="704"/>
      <c r="APN39" s="704"/>
      <c r="APO39" s="704"/>
      <c r="APP39" s="704"/>
      <c r="APQ39" s="704"/>
      <c r="APR39" s="704"/>
      <c r="APS39" s="704"/>
      <c r="APT39" s="704"/>
      <c r="APU39" s="704"/>
      <c r="APV39" s="704"/>
      <c r="APW39" s="704"/>
      <c r="APX39" s="704"/>
      <c r="APY39" s="704"/>
      <c r="APZ39" s="704"/>
      <c r="AQA39" s="704"/>
      <c r="AQB39" s="704"/>
      <c r="AQC39" s="704"/>
      <c r="AQD39" s="704"/>
      <c r="AQE39" s="704"/>
      <c r="AQF39" s="704"/>
      <c r="AQG39" s="704"/>
      <c r="AQH39" s="704"/>
      <c r="AQI39" s="704"/>
      <c r="AQJ39" s="704"/>
      <c r="AQK39" s="704"/>
      <c r="AQL39" s="704"/>
      <c r="AQM39" s="704"/>
      <c r="AQN39" s="704"/>
      <c r="AQO39" s="704"/>
      <c r="AQP39" s="704"/>
      <c r="AQQ39" s="704"/>
      <c r="AQR39" s="704"/>
      <c r="AQS39" s="704"/>
      <c r="AQT39" s="704"/>
      <c r="AQU39" s="704"/>
      <c r="AQV39" s="704"/>
      <c r="AQW39" s="704"/>
      <c r="AQX39" s="704"/>
      <c r="AQY39" s="704"/>
      <c r="AQZ39" s="704"/>
      <c r="ARA39" s="704"/>
      <c r="ARB39" s="704"/>
      <c r="ARC39" s="704"/>
      <c r="ARD39" s="704"/>
      <c r="ARE39" s="704"/>
      <c r="ARF39" s="704"/>
      <c r="ARG39" s="704"/>
      <c r="ARH39" s="704"/>
      <c r="ARI39" s="704"/>
      <c r="ARJ39" s="704"/>
      <c r="ARK39" s="704"/>
      <c r="ARL39" s="704"/>
      <c r="ARM39" s="704"/>
      <c r="ARN39" s="704"/>
      <c r="ARO39" s="704"/>
      <c r="ARP39" s="704"/>
      <c r="ARQ39" s="704"/>
      <c r="ARR39" s="704"/>
      <c r="ARS39" s="704"/>
      <c r="ART39" s="704"/>
      <c r="ARU39" s="704"/>
      <c r="ARV39" s="704"/>
      <c r="ARW39" s="704"/>
      <c r="ARX39" s="704"/>
      <c r="ARY39" s="704"/>
      <c r="ARZ39" s="704"/>
      <c r="ASA39" s="704"/>
      <c r="ASB39" s="704"/>
      <c r="ASC39" s="704"/>
      <c r="ASD39" s="704"/>
      <c r="ASE39" s="704"/>
      <c r="ASF39" s="704"/>
      <c r="ASG39" s="704"/>
      <c r="ASH39" s="704"/>
      <c r="ASI39" s="704"/>
      <c r="ASJ39" s="704"/>
      <c r="ASK39" s="704"/>
      <c r="ASL39" s="704"/>
      <c r="ASM39" s="704"/>
      <c r="ASN39" s="704"/>
      <c r="ASO39" s="704"/>
      <c r="ASP39" s="704"/>
      <c r="ASQ39" s="704"/>
      <c r="ASR39" s="704"/>
      <c r="ASS39" s="704"/>
      <c r="AST39" s="704"/>
      <c r="ASU39" s="704"/>
      <c r="ASV39" s="704"/>
      <c r="ASW39" s="704"/>
      <c r="ASX39" s="704"/>
      <c r="ASY39" s="704"/>
      <c r="ASZ39" s="704"/>
      <c r="ATA39" s="704"/>
      <c r="ATB39" s="704"/>
      <c r="ATC39" s="704"/>
      <c r="ATD39" s="704"/>
      <c r="ATE39" s="704"/>
      <c r="ATF39" s="704"/>
      <c r="ATG39" s="704"/>
      <c r="ATH39" s="704"/>
      <c r="ATI39" s="704"/>
      <c r="ATJ39" s="704"/>
      <c r="ATK39" s="704"/>
      <c r="ATL39" s="704"/>
      <c r="ATM39" s="704"/>
      <c r="ATN39" s="704"/>
      <c r="ATO39" s="704"/>
      <c r="ATP39" s="704"/>
      <c r="ATQ39" s="704"/>
      <c r="ATR39" s="704"/>
      <c r="ATS39" s="704"/>
      <c r="ATT39" s="704"/>
      <c r="ATU39" s="704"/>
      <c r="ATV39" s="704"/>
      <c r="ATW39" s="704"/>
      <c r="ATX39" s="704"/>
      <c r="ATY39" s="704"/>
      <c r="ATZ39" s="704"/>
      <c r="AUA39" s="704"/>
      <c r="AUB39" s="704"/>
      <c r="AUC39" s="704"/>
      <c r="AUD39" s="704"/>
      <c r="AUE39" s="704"/>
      <c r="AUF39" s="704"/>
      <c r="AUG39" s="704"/>
      <c r="AUH39" s="704"/>
      <c r="AUI39" s="704"/>
      <c r="AUJ39" s="704"/>
      <c r="AUK39" s="704"/>
      <c r="AUL39" s="704"/>
      <c r="AUM39" s="704"/>
      <c r="AUN39" s="704"/>
      <c r="AUO39" s="704"/>
      <c r="AUP39" s="704"/>
      <c r="AUQ39" s="704"/>
      <c r="AUR39" s="704"/>
      <c r="AUS39" s="704"/>
      <c r="AUT39" s="704"/>
      <c r="AUU39" s="704"/>
      <c r="AUV39" s="704"/>
      <c r="AUW39" s="704"/>
      <c r="AUX39" s="704"/>
      <c r="AUY39" s="704"/>
      <c r="AUZ39" s="704"/>
      <c r="AVA39" s="704"/>
      <c r="AVB39" s="704"/>
      <c r="AVC39" s="704"/>
      <c r="AVD39" s="704"/>
      <c r="AVE39" s="704"/>
      <c r="AVF39" s="704"/>
      <c r="AVG39" s="704"/>
      <c r="AVH39" s="704"/>
      <c r="AVI39" s="704"/>
      <c r="AVJ39" s="704"/>
      <c r="AVK39" s="704"/>
      <c r="AVL39" s="704"/>
      <c r="AVM39" s="704"/>
      <c r="AVN39" s="704"/>
      <c r="AVO39" s="704"/>
      <c r="AVP39" s="704"/>
      <c r="AVQ39" s="704"/>
      <c r="AVR39" s="704"/>
      <c r="AVS39" s="704"/>
      <c r="AVT39" s="704"/>
      <c r="AVU39" s="704"/>
      <c r="AVV39" s="704"/>
      <c r="AVW39" s="704"/>
      <c r="AVX39" s="704"/>
      <c r="AVY39" s="704"/>
      <c r="AVZ39" s="704"/>
      <c r="AWA39" s="704"/>
      <c r="AWB39" s="704"/>
      <c r="AWC39" s="704"/>
      <c r="AWD39" s="704"/>
      <c r="AWE39" s="704"/>
      <c r="AWF39" s="704"/>
      <c r="AWG39" s="704"/>
      <c r="AWH39" s="704"/>
      <c r="AWI39" s="704"/>
      <c r="AWJ39" s="704"/>
      <c r="AWK39" s="704"/>
      <c r="AWL39" s="704"/>
      <c r="AWM39" s="704"/>
      <c r="AWN39" s="704"/>
      <c r="AWO39" s="704"/>
      <c r="AWP39" s="704"/>
      <c r="AWQ39" s="704"/>
      <c r="AWR39" s="704"/>
      <c r="AWS39" s="704"/>
      <c r="AWT39" s="704"/>
      <c r="AWU39" s="704"/>
      <c r="AWV39" s="704"/>
      <c r="AWW39" s="704"/>
      <c r="AWX39" s="704"/>
      <c r="AWY39" s="704"/>
      <c r="AWZ39" s="704"/>
      <c r="AXA39" s="704"/>
      <c r="AXB39" s="704"/>
      <c r="AXC39" s="704"/>
      <c r="AXD39" s="704"/>
      <c r="AXE39" s="704"/>
      <c r="AXF39" s="704"/>
      <c r="AXG39" s="704"/>
      <c r="AXH39" s="704"/>
      <c r="AXI39" s="704"/>
      <c r="AXJ39" s="704"/>
      <c r="AXK39" s="704"/>
      <c r="AXL39" s="704"/>
      <c r="AXM39" s="704"/>
      <c r="AXN39" s="704"/>
      <c r="AXO39" s="704"/>
      <c r="AXP39" s="704"/>
      <c r="AXQ39" s="704"/>
      <c r="AXR39" s="704"/>
      <c r="AXS39" s="704"/>
      <c r="AXT39" s="704"/>
      <c r="AXU39" s="704"/>
      <c r="AXV39" s="704"/>
      <c r="AXW39" s="704"/>
      <c r="AXX39" s="704"/>
      <c r="AXY39" s="704"/>
      <c r="AXZ39" s="704"/>
      <c r="AYA39" s="704"/>
      <c r="AYB39" s="704"/>
      <c r="AYC39" s="704"/>
      <c r="AYD39" s="704"/>
      <c r="AYE39" s="704"/>
      <c r="AYF39" s="704"/>
      <c r="AYG39" s="704"/>
      <c r="AYH39" s="704"/>
      <c r="AYI39" s="704"/>
      <c r="AYJ39" s="704"/>
      <c r="AYK39" s="704"/>
      <c r="AYL39" s="704"/>
      <c r="AYM39" s="704"/>
      <c r="AYN39" s="704"/>
      <c r="AYO39" s="704"/>
      <c r="AYP39" s="704"/>
      <c r="AYQ39" s="704"/>
      <c r="AYR39" s="704"/>
      <c r="AYS39" s="704"/>
      <c r="AYT39" s="704"/>
      <c r="AYU39" s="704"/>
      <c r="AYV39" s="704"/>
      <c r="AYW39" s="704"/>
      <c r="AYX39" s="704"/>
      <c r="AYY39" s="704"/>
      <c r="AYZ39" s="704"/>
      <c r="AZA39" s="704"/>
      <c r="AZB39" s="704"/>
      <c r="AZC39" s="704"/>
      <c r="AZD39" s="704"/>
      <c r="AZE39" s="704"/>
      <c r="AZF39" s="704"/>
      <c r="AZG39" s="704"/>
      <c r="AZH39" s="704"/>
      <c r="AZI39" s="704"/>
      <c r="AZJ39" s="704"/>
      <c r="AZK39" s="704"/>
      <c r="AZL39" s="704"/>
      <c r="AZM39" s="704"/>
      <c r="AZN39" s="704"/>
      <c r="AZO39" s="704"/>
      <c r="AZP39" s="704"/>
      <c r="AZQ39" s="704"/>
      <c r="AZR39" s="704"/>
      <c r="AZS39" s="704"/>
      <c r="AZT39" s="704"/>
      <c r="AZU39" s="704"/>
      <c r="AZV39" s="704"/>
      <c r="AZW39" s="704"/>
      <c r="AZX39" s="704"/>
      <c r="AZY39" s="704"/>
      <c r="AZZ39" s="704"/>
      <c r="BAA39" s="704"/>
      <c r="BAB39" s="704"/>
      <c r="BAC39" s="704"/>
      <c r="BAD39" s="704"/>
      <c r="BAE39" s="704"/>
      <c r="BAF39" s="704"/>
      <c r="BAG39" s="704"/>
      <c r="BAH39" s="704"/>
      <c r="BAI39" s="704"/>
      <c r="BAJ39" s="704"/>
      <c r="BAK39" s="704"/>
      <c r="BAL39" s="704"/>
      <c r="BAM39" s="704"/>
      <c r="BAN39" s="704"/>
      <c r="BAO39" s="704"/>
      <c r="BAP39" s="704"/>
      <c r="BAQ39" s="704"/>
      <c r="BAR39" s="704"/>
      <c r="BAS39" s="704"/>
      <c r="BAT39" s="704"/>
      <c r="BAU39" s="704"/>
      <c r="BAV39" s="704"/>
      <c r="BAW39" s="704"/>
      <c r="BAX39" s="704"/>
      <c r="BAY39" s="704"/>
      <c r="BAZ39" s="704"/>
      <c r="BBA39" s="704"/>
      <c r="BBB39" s="704"/>
      <c r="BBC39" s="704"/>
      <c r="BBD39" s="704"/>
      <c r="BBE39" s="704"/>
      <c r="BBF39" s="704"/>
      <c r="BBG39" s="704"/>
      <c r="BBH39" s="704"/>
      <c r="BBI39" s="704"/>
      <c r="BBJ39" s="704"/>
      <c r="BBK39" s="704"/>
      <c r="BBL39" s="704"/>
      <c r="BBM39" s="704"/>
      <c r="BBN39" s="704"/>
      <c r="BBO39" s="704"/>
      <c r="BBP39" s="704"/>
      <c r="BBQ39" s="704"/>
      <c r="BBR39" s="704"/>
      <c r="BBS39" s="704"/>
      <c r="BBT39" s="704"/>
      <c r="BBU39" s="704"/>
      <c r="BBV39" s="704"/>
      <c r="BBW39" s="704"/>
      <c r="BBX39" s="704"/>
      <c r="BBY39" s="704"/>
      <c r="BBZ39" s="704"/>
      <c r="BCA39" s="704"/>
      <c r="BCB39" s="704"/>
      <c r="BCC39" s="704"/>
      <c r="BCD39" s="704"/>
      <c r="BCE39" s="704"/>
      <c r="BCF39" s="704"/>
      <c r="BCG39" s="704"/>
      <c r="BCH39" s="704"/>
      <c r="BCI39" s="704"/>
      <c r="BCJ39" s="704"/>
      <c r="BCK39" s="704"/>
      <c r="BCL39" s="704"/>
      <c r="BCM39" s="704"/>
      <c r="BCN39" s="704"/>
      <c r="BCO39" s="704"/>
      <c r="BCP39" s="704"/>
      <c r="BCQ39" s="704"/>
      <c r="BCR39" s="704"/>
      <c r="BCS39" s="704"/>
      <c r="BCT39" s="704"/>
      <c r="BCU39" s="704"/>
      <c r="BCV39" s="704"/>
      <c r="BCW39" s="704"/>
      <c r="BCX39" s="704"/>
      <c r="BCY39" s="704"/>
      <c r="BCZ39" s="704"/>
      <c r="BDA39" s="704"/>
      <c r="BDB39" s="704"/>
      <c r="BDC39" s="704"/>
      <c r="BDD39" s="704"/>
      <c r="BDE39" s="704"/>
      <c r="BDF39" s="704"/>
      <c r="BDG39" s="704"/>
      <c r="BDH39" s="704"/>
      <c r="BDI39" s="704"/>
      <c r="BDJ39" s="704"/>
      <c r="BDK39" s="704"/>
      <c r="BDL39" s="704"/>
      <c r="BDM39" s="704"/>
      <c r="BDN39" s="704"/>
      <c r="BDO39" s="704"/>
      <c r="BDP39" s="704"/>
      <c r="BDQ39" s="704"/>
      <c r="BDR39" s="704"/>
      <c r="BDS39" s="704"/>
      <c r="BDT39" s="704"/>
      <c r="BDU39" s="704"/>
      <c r="BDV39" s="704"/>
      <c r="BDW39" s="704"/>
      <c r="BDX39" s="704"/>
      <c r="BDY39" s="704"/>
      <c r="BDZ39" s="704"/>
      <c r="BEA39" s="704"/>
      <c r="BEB39" s="704"/>
      <c r="BEC39" s="704"/>
      <c r="BED39" s="704"/>
      <c r="BEE39" s="704"/>
      <c r="BEF39" s="704"/>
      <c r="BEG39" s="704"/>
      <c r="BEH39" s="704"/>
      <c r="BEI39" s="704"/>
      <c r="BEJ39" s="704"/>
      <c r="BEK39" s="704"/>
      <c r="BEL39" s="704"/>
      <c r="BEM39" s="704"/>
      <c r="BEN39" s="704"/>
      <c r="BEO39" s="704"/>
      <c r="BEP39" s="704"/>
      <c r="BEQ39" s="704"/>
      <c r="BER39" s="704"/>
      <c r="BES39" s="704"/>
      <c r="BET39" s="704"/>
      <c r="BEU39" s="704"/>
      <c r="BEV39" s="704"/>
      <c r="BEW39" s="704"/>
      <c r="BEX39" s="704"/>
      <c r="BEY39" s="704"/>
      <c r="BEZ39" s="704"/>
      <c r="BFA39" s="704"/>
      <c r="BFB39" s="704"/>
      <c r="BFC39" s="704"/>
      <c r="BFD39" s="704"/>
      <c r="BFE39" s="704"/>
      <c r="BFF39" s="704"/>
      <c r="BFG39" s="704"/>
      <c r="BFH39" s="704"/>
      <c r="BFI39" s="704"/>
      <c r="BFJ39" s="704"/>
      <c r="BFK39" s="704"/>
      <c r="BFL39" s="704"/>
      <c r="BFM39" s="704"/>
      <c r="BFN39" s="704"/>
      <c r="BFO39" s="704"/>
      <c r="BFP39" s="704"/>
      <c r="BFQ39" s="704"/>
      <c r="BFR39" s="704"/>
      <c r="BFS39" s="704"/>
      <c r="BFT39" s="704"/>
      <c r="BFU39" s="704"/>
      <c r="BFV39" s="704"/>
      <c r="BFW39" s="704"/>
      <c r="BFX39" s="704"/>
      <c r="BFY39" s="704"/>
      <c r="BFZ39" s="704"/>
      <c r="BGA39" s="704"/>
      <c r="BGB39" s="704"/>
      <c r="BGC39" s="704"/>
      <c r="BGD39" s="704"/>
      <c r="BGE39" s="704"/>
      <c r="BGF39" s="704"/>
      <c r="BGG39" s="704"/>
      <c r="BGH39" s="704"/>
      <c r="BGI39" s="704"/>
      <c r="BGJ39" s="704"/>
      <c r="BGK39" s="704"/>
      <c r="BGL39" s="704"/>
      <c r="BGM39" s="704"/>
      <c r="BGN39" s="704"/>
      <c r="BGO39" s="704"/>
      <c r="BGP39" s="704"/>
      <c r="BGQ39" s="704"/>
      <c r="BGR39" s="704"/>
      <c r="BGS39" s="704"/>
      <c r="BGT39" s="704"/>
      <c r="BGU39" s="704"/>
      <c r="BGV39" s="704"/>
      <c r="BGW39" s="704"/>
      <c r="BGX39" s="704"/>
      <c r="BGY39" s="704"/>
      <c r="BGZ39" s="704"/>
      <c r="BHA39" s="704"/>
      <c r="BHB39" s="704"/>
      <c r="BHC39" s="704"/>
      <c r="BHD39" s="704"/>
      <c r="BHE39" s="704"/>
      <c r="BHF39" s="704"/>
      <c r="BHG39" s="704"/>
      <c r="BHH39" s="704"/>
      <c r="BHI39" s="704"/>
      <c r="BHJ39" s="704"/>
      <c r="BHK39" s="704"/>
      <c r="BHL39" s="704"/>
      <c r="BHM39" s="704"/>
      <c r="BHN39" s="704"/>
      <c r="BHO39" s="704"/>
      <c r="BHP39" s="704"/>
      <c r="BHQ39" s="704"/>
      <c r="BHR39" s="704"/>
      <c r="BHS39" s="704"/>
      <c r="BHT39" s="704"/>
      <c r="BHU39" s="704"/>
      <c r="BHV39" s="704"/>
      <c r="BHW39" s="704"/>
      <c r="BHX39" s="704"/>
      <c r="BHY39" s="704"/>
      <c r="BHZ39" s="704"/>
      <c r="BIA39" s="704"/>
      <c r="BIB39" s="704"/>
      <c r="BIC39" s="704"/>
      <c r="BID39" s="704"/>
      <c r="BIE39" s="704"/>
      <c r="BIF39" s="704"/>
      <c r="BIG39" s="704"/>
      <c r="BIH39" s="704"/>
      <c r="BII39" s="704"/>
      <c r="BIJ39" s="704"/>
      <c r="BIK39" s="704"/>
      <c r="BIL39" s="704"/>
      <c r="BIM39" s="704"/>
      <c r="BIN39" s="704"/>
      <c r="BIO39" s="704"/>
      <c r="BIP39" s="704"/>
      <c r="BIQ39" s="704"/>
      <c r="BIR39" s="704"/>
      <c r="BIS39" s="704"/>
      <c r="BIT39" s="704"/>
      <c r="BIU39" s="704"/>
      <c r="BIV39" s="704"/>
      <c r="BIW39" s="704"/>
      <c r="BIX39" s="704"/>
      <c r="BIY39" s="704"/>
      <c r="BIZ39" s="704"/>
      <c r="BJA39" s="704"/>
      <c r="BJB39" s="704"/>
      <c r="BJC39" s="704"/>
      <c r="BJD39" s="704"/>
      <c r="BJE39" s="704"/>
      <c r="BJF39" s="704"/>
      <c r="BJG39" s="704"/>
      <c r="BJH39" s="704"/>
      <c r="BJI39" s="704"/>
      <c r="BJJ39" s="704"/>
      <c r="BJK39" s="704"/>
      <c r="BJL39" s="704"/>
      <c r="BJM39" s="704"/>
      <c r="BJN39" s="704"/>
      <c r="BJO39" s="704"/>
      <c r="BJP39" s="704"/>
      <c r="BJQ39" s="704"/>
      <c r="BJR39" s="704"/>
      <c r="BJS39" s="704"/>
      <c r="BJT39" s="704"/>
      <c r="BJU39" s="704"/>
      <c r="BJV39" s="704"/>
      <c r="BJW39" s="704"/>
      <c r="BJX39" s="704"/>
      <c r="BJY39" s="704"/>
      <c r="BJZ39" s="704"/>
      <c r="BKA39" s="704"/>
      <c r="BKB39" s="704"/>
      <c r="BKC39" s="704"/>
      <c r="BKD39" s="704"/>
      <c r="BKE39" s="704"/>
      <c r="BKF39" s="704"/>
      <c r="BKG39" s="704"/>
      <c r="BKH39" s="704"/>
      <c r="BKI39" s="704"/>
      <c r="BKJ39" s="704"/>
      <c r="BKK39" s="704"/>
      <c r="BKL39" s="704"/>
      <c r="BKM39" s="704"/>
      <c r="BKN39" s="704"/>
      <c r="BKO39" s="704"/>
      <c r="BKP39" s="704"/>
      <c r="BKQ39" s="704"/>
      <c r="BKR39" s="704"/>
      <c r="BKS39" s="704"/>
      <c r="BKT39" s="704"/>
      <c r="BKU39" s="704"/>
      <c r="BKV39" s="704"/>
      <c r="BKW39" s="704"/>
      <c r="BKX39" s="704"/>
      <c r="BKY39" s="704"/>
      <c r="BKZ39" s="704"/>
      <c r="BLA39" s="704"/>
      <c r="BLB39" s="704"/>
      <c r="BLC39" s="704"/>
      <c r="BLD39" s="704"/>
      <c r="BLE39" s="704"/>
      <c r="BLF39" s="704"/>
      <c r="BLG39" s="704"/>
      <c r="BLH39" s="704"/>
      <c r="BLI39" s="704"/>
      <c r="BLJ39" s="704"/>
      <c r="BLK39" s="704"/>
      <c r="BLL39" s="704"/>
      <c r="BLM39" s="704"/>
      <c r="BLN39" s="704"/>
      <c r="BLO39" s="704"/>
      <c r="BLP39" s="704"/>
      <c r="BLQ39" s="704"/>
      <c r="BLR39" s="704"/>
      <c r="BLS39" s="704"/>
      <c r="BLT39" s="704"/>
      <c r="BLU39" s="704"/>
      <c r="BLV39" s="704"/>
      <c r="BLW39" s="704"/>
      <c r="BLX39" s="704"/>
      <c r="BLY39" s="704"/>
      <c r="BLZ39" s="704"/>
      <c r="BMA39" s="704"/>
      <c r="BMB39" s="704"/>
      <c r="BMC39" s="704"/>
      <c r="BMD39" s="704"/>
      <c r="BME39" s="704"/>
      <c r="BMF39" s="704"/>
      <c r="BMG39" s="704"/>
      <c r="BMH39" s="704"/>
      <c r="BMI39" s="704"/>
      <c r="BMJ39" s="704"/>
      <c r="BMK39" s="704"/>
      <c r="BML39" s="704"/>
      <c r="BMM39" s="704"/>
      <c r="BMN39" s="704"/>
      <c r="BMO39" s="704"/>
      <c r="BMP39" s="704"/>
      <c r="BMQ39" s="704"/>
      <c r="BMR39" s="704"/>
      <c r="BMS39" s="704"/>
      <c r="BMT39" s="704"/>
      <c r="BMU39" s="704"/>
      <c r="BMV39" s="704"/>
      <c r="BMW39" s="704"/>
      <c r="BMX39" s="704"/>
      <c r="BMY39" s="704"/>
      <c r="BMZ39" s="704"/>
      <c r="BNA39" s="704"/>
      <c r="BNB39" s="704"/>
      <c r="BNC39" s="704"/>
      <c r="BND39" s="704"/>
      <c r="BNE39" s="704"/>
      <c r="BNF39" s="704"/>
      <c r="BNG39" s="704"/>
      <c r="BNH39" s="704"/>
      <c r="BNI39" s="704"/>
      <c r="BNJ39" s="704"/>
      <c r="BNK39" s="704"/>
      <c r="BNL39" s="704"/>
      <c r="BNM39" s="704"/>
      <c r="BNN39" s="704"/>
      <c r="BNO39" s="704"/>
      <c r="BNP39" s="704"/>
      <c r="BNQ39" s="704"/>
      <c r="BNR39" s="704"/>
      <c r="BNS39" s="704"/>
      <c r="BNT39" s="704"/>
      <c r="BNU39" s="704"/>
      <c r="BNV39" s="704"/>
      <c r="BNW39" s="704"/>
      <c r="BNX39" s="704"/>
      <c r="BNY39" s="704"/>
      <c r="BNZ39" s="704"/>
      <c r="BOA39" s="704"/>
      <c r="BOB39" s="704"/>
      <c r="BOC39" s="704"/>
      <c r="BOD39" s="704"/>
      <c r="BOE39" s="704"/>
      <c r="BOF39" s="704"/>
      <c r="BOG39" s="704"/>
      <c r="BOH39" s="704"/>
      <c r="BOI39" s="704"/>
      <c r="BOJ39" s="704"/>
      <c r="BOK39" s="704"/>
      <c r="BOL39" s="704"/>
      <c r="BOM39" s="704"/>
      <c r="BON39" s="704"/>
      <c r="BOO39" s="704"/>
      <c r="BOP39" s="704"/>
      <c r="BOQ39" s="704"/>
      <c r="BOR39" s="704"/>
      <c r="BOS39" s="704"/>
      <c r="BOT39" s="704"/>
      <c r="BOU39" s="704"/>
      <c r="BOV39" s="704"/>
      <c r="BOW39" s="704"/>
      <c r="BOX39" s="704"/>
      <c r="BOY39" s="704"/>
      <c r="BOZ39" s="704"/>
      <c r="BPA39" s="704"/>
      <c r="BPB39" s="704"/>
      <c r="BPC39" s="704"/>
      <c r="BPD39" s="704"/>
      <c r="BPE39" s="704"/>
      <c r="BPF39" s="704"/>
      <c r="BPG39" s="704"/>
      <c r="BPH39" s="704"/>
      <c r="BPI39" s="704"/>
      <c r="BPJ39" s="704"/>
      <c r="BPK39" s="704"/>
      <c r="BPL39" s="704"/>
      <c r="BPM39" s="704"/>
      <c r="BPN39" s="704"/>
      <c r="BPO39" s="704"/>
      <c r="BPP39" s="704"/>
      <c r="BPQ39" s="704"/>
      <c r="BPR39" s="704"/>
      <c r="BPS39" s="704"/>
      <c r="BPT39" s="704"/>
      <c r="BPU39" s="704"/>
      <c r="BPV39" s="704"/>
      <c r="BPW39" s="704"/>
      <c r="BPX39" s="704"/>
      <c r="BPY39" s="704"/>
      <c r="BPZ39" s="704"/>
      <c r="BQA39" s="704"/>
      <c r="BQB39" s="704"/>
      <c r="BQC39" s="704"/>
      <c r="BQD39" s="704"/>
      <c r="BQE39" s="704"/>
      <c r="BQF39" s="704"/>
      <c r="BQG39" s="704"/>
      <c r="BQH39" s="704"/>
      <c r="BQI39" s="704"/>
      <c r="BQJ39" s="704"/>
      <c r="BQK39" s="704"/>
      <c r="BQL39" s="704"/>
      <c r="BQM39" s="704"/>
      <c r="BQN39" s="704"/>
      <c r="BQO39" s="704"/>
      <c r="BQP39" s="704"/>
      <c r="BQQ39" s="704"/>
      <c r="BQR39" s="704"/>
      <c r="BQS39" s="704"/>
      <c r="BQT39" s="704"/>
      <c r="BQU39" s="704"/>
      <c r="BQV39" s="704"/>
      <c r="BQW39" s="704"/>
      <c r="BQX39" s="704"/>
      <c r="BQY39" s="704"/>
      <c r="BQZ39" s="704"/>
      <c r="BRA39" s="704"/>
      <c r="BRB39" s="704"/>
      <c r="BRC39" s="704"/>
      <c r="BRD39" s="704"/>
      <c r="BRE39" s="704"/>
      <c r="BRF39" s="704"/>
      <c r="BRG39" s="704"/>
      <c r="BRH39" s="704"/>
      <c r="BRI39" s="704"/>
      <c r="BRJ39" s="704"/>
      <c r="BRK39" s="704"/>
      <c r="BRL39" s="704"/>
      <c r="BRM39" s="704"/>
      <c r="BRN39" s="704"/>
      <c r="BRO39" s="704"/>
      <c r="BRP39" s="704"/>
      <c r="BRQ39" s="704"/>
      <c r="BRR39" s="704"/>
      <c r="BRS39" s="704"/>
      <c r="BRT39" s="704"/>
      <c r="BRU39" s="704"/>
      <c r="BRV39" s="704"/>
      <c r="BRW39" s="704"/>
      <c r="BRX39" s="704"/>
      <c r="BRY39" s="704"/>
      <c r="BRZ39" s="704"/>
      <c r="BSA39" s="704"/>
      <c r="BSB39" s="704"/>
      <c r="BSC39" s="704"/>
      <c r="BSD39" s="704"/>
      <c r="BSE39" s="704"/>
      <c r="BSF39" s="704"/>
      <c r="BSG39" s="704"/>
      <c r="BSH39" s="704"/>
      <c r="BSI39" s="704"/>
      <c r="BSJ39" s="704"/>
      <c r="BSK39" s="704"/>
      <c r="BSL39" s="704"/>
      <c r="BSM39" s="704"/>
      <c r="BSN39" s="704"/>
      <c r="BSO39" s="704"/>
      <c r="BSP39" s="704"/>
      <c r="BSQ39" s="704"/>
      <c r="BSR39" s="704"/>
      <c r="BSS39" s="704"/>
      <c r="BST39" s="704"/>
      <c r="BSU39" s="704"/>
      <c r="BSV39" s="704"/>
      <c r="BSW39" s="704"/>
      <c r="BSX39" s="704"/>
      <c r="BSY39" s="704"/>
      <c r="BSZ39" s="704"/>
      <c r="BTA39" s="704"/>
      <c r="BTB39" s="704"/>
      <c r="BTC39" s="704"/>
      <c r="BTD39" s="704"/>
      <c r="BTE39" s="704"/>
      <c r="BTF39" s="704"/>
      <c r="BTG39" s="704"/>
      <c r="BTH39" s="704"/>
      <c r="BTI39" s="704"/>
      <c r="BTJ39" s="704"/>
      <c r="BTK39" s="704"/>
      <c r="BTL39" s="704"/>
      <c r="BTM39" s="704"/>
      <c r="BTN39" s="704"/>
      <c r="BTO39" s="704"/>
      <c r="BTP39" s="704"/>
      <c r="BTQ39" s="704"/>
      <c r="BTR39" s="704"/>
      <c r="BTS39" s="704"/>
      <c r="BTT39" s="704"/>
      <c r="BTU39" s="704"/>
      <c r="BTV39" s="704"/>
      <c r="BTW39" s="704"/>
      <c r="BTX39" s="704"/>
      <c r="BTY39" s="704"/>
      <c r="BTZ39" s="704"/>
      <c r="BUA39" s="704"/>
      <c r="BUB39" s="704"/>
      <c r="BUC39" s="704"/>
      <c r="BUD39" s="704"/>
      <c r="BUE39" s="704"/>
      <c r="BUF39" s="704"/>
      <c r="BUG39" s="704"/>
      <c r="BUH39" s="704"/>
      <c r="BUI39" s="704"/>
      <c r="BUJ39" s="704"/>
      <c r="BUK39" s="704"/>
      <c r="BUL39" s="704"/>
      <c r="BUM39" s="704"/>
      <c r="BUN39" s="704"/>
      <c r="BUO39" s="704"/>
      <c r="BUP39" s="704"/>
      <c r="BUQ39" s="704"/>
      <c r="BUR39" s="704"/>
      <c r="BUS39" s="704"/>
      <c r="BUT39" s="704"/>
      <c r="BUU39" s="704"/>
      <c r="BUV39" s="704"/>
      <c r="BUW39" s="704"/>
      <c r="BUX39" s="704"/>
      <c r="BUY39" s="704"/>
      <c r="BUZ39" s="704"/>
      <c r="BVA39" s="704"/>
      <c r="BVB39" s="704"/>
      <c r="BVC39" s="704"/>
      <c r="BVD39" s="704"/>
      <c r="BVE39" s="704"/>
      <c r="BVF39" s="704"/>
      <c r="BVG39" s="704"/>
      <c r="BVH39" s="704"/>
      <c r="BVI39" s="704"/>
      <c r="BVJ39" s="704"/>
      <c r="BVK39" s="704"/>
      <c r="BVL39" s="704"/>
      <c r="BVM39" s="704"/>
      <c r="BVN39" s="704"/>
      <c r="BVO39" s="704"/>
      <c r="BVP39" s="704"/>
      <c r="BVQ39" s="704"/>
      <c r="BVR39" s="704"/>
      <c r="BVS39" s="704"/>
      <c r="BVT39" s="704"/>
      <c r="BVU39" s="704"/>
      <c r="BVV39" s="704"/>
      <c r="BVW39" s="704"/>
      <c r="BVX39" s="704"/>
      <c r="BVY39" s="704"/>
      <c r="BVZ39" s="704"/>
      <c r="BWA39" s="704"/>
      <c r="BWB39" s="704"/>
      <c r="BWC39" s="704"/>
      <c r="BWD39" s="704"/>
      <c r="BWE39" s="704"/>
      <c r="BWF39" s="704"/>
      <c r="BWG39" s="704"/>
      <c r="BWH39" s="704"/>
      <c r="BWI39" s="704"/>
      <c r="BWJ39" s="704"/>
      <c r="BWK39" s="704"/>
      <c r="BWL39" s="704"/>
      <c r="BWM39" s="704"/>
      <c r="BWN39" s="704"/>
      <c r="BWO39" s="704"/>
      <c r="BWP39" s="704"/>
      <c r="BWQ39" s="704"/>
      <c r="BWR39" s="704"/>
      <c r="BWS39" s="704"/>
      <c r="BWT39" s="704"/>
      <c r="BWU39" s="704"/>
      <c r="BWV39" s="704"/>
      <c r="BWW39" s="704"/>
      <c r="BWX39" s="704"/>
      <c r="BWY39" s="704"/>
      <c r="BWZ39" s="704"/>
      <c r="BXA39" s="704"/>
      <c r="BXB39" s="704"/>
      <c r="BXC39" s="704"/>
      <c r="BXD39" s="704"/>
      <c r="BXE39" s="704"/>
      <c r="BXF39" s="704"/>
      <c r="BXG39" s="704"/>
      <c r="BXH39" s="704"/>
      <c r="BXI39" s="704"/>
      <c r="BXJ39" s="704"/>
      <c r="BXK39" s="704"/>
      <c r="BXL39" s="704"/>
      <c r="BXM39" s="704"/>
      <c r="BXN39" s="704"/>
      <c r="BXO39" s="704"/>
      <c r="BXP39" s="704"/>
      <c r="BXQ39" s="704"/>
      <c r="BXR39" s="704"/>
      <c r="BXS39" s="704"/>
      <c r="BXT39" s="704"/>
      <c r="BXU39" s="704"/>
      <c r="BXV39" s="704"/>
      <c r="BXW39" s="704"/>
      <c r="BXX39" s="704"/>
      <c r="BXY39" s="704"/>
      <c r="BXZ39" s="704"/>
      <c r="BYA39" s="704"/>
      <c r="BYB39" s="704"/>
      <c r="BYC39" s="704"/>
      <c r="BYD39" s="704"/>
      <c r="BYE39" s="704"/>
      <c r="BYF39" s="704"/>
      <c r="BYG39" s="704"/>
      <c r="BYH39" s="704"/>
      <c r="BYI39" s="704"/>
      <c r="BYJ39" s="704"/>
      <c r="BYK39" s="704"/>
      <c r="BYL39" s="704"/>
      <c r="BYM39" s="704"/>
      <c r="BYN39" s="704"/>
      <c r="BYO39" s="704"/>
      <c r="BYP39" s="704"/>
      <c r="BYQ39" s="704"/>
      <c r="BYR39" s="704"/>
      <c r="BYS39" s="704"/>
      <c r="BYT39" s="704"/>
      <c r="BYU39" s="704"/>
      <c r="BYV39" s="704"/>
      <c r="BYW39" s="704"/>
      <c r="BYX39" s="704"/>
      <c r="BYY39" s="704"/>
      <c r="BYZ39" s="704"/>
      <c r="BZA39" s="704"/>
      <c r="BZB39" s="704"/>
      <c r="BZC39" s="704"/>
      <c r="BZD39" s="704"/>
      <c r="BZE39" s="704"/>
      <c r="BZF39" s="704"/>
      <c r="BZG39" s="704"/>
      <c r="BZH39" s="704"/>
      <c r="BZI39" s="704"/>
      <c r="BZJ39" s="704"/>
      <c r="BZK39" s="704"/>
      <c r="BZL39" s="704"/>
      <c r="BZM39" s="704"/>
      <c r="BZN39" s="704"/>
      <c r="BZO39" s="704"/>
      <c r="BZP39" s="704"/>
      <c r="BZQ39" s="704"/>
      <c r="BZR39" s="704"/>
      <c r="BZS39" s="704"/>
      <c r="BZT39" s="704"/>
      <c r="BZU39" s="704"/>
      <c r="BZV39" s="704"/>
      <c r="BZW39" s="704"/>
      <c r="BZX39" s="704"/>
      <c r="BZY39" s="704"/>
      <c r="BZZ39" s="704"/>
      <c r="CAA39" s="704"/>
      <c r="CAB39" s="704"/>
      <c r="CAC39" s="704"/>
      <c r="CAD39" s="704"/>
      <c r="CAE39" s="704"/>
      <c r="CAF39" s="704"/>
      <c r="CAG39" s="704"/>
      <c r="CAH39" s="704"/>
      <c r="CAI39" s="704"/>
      <c r="CAJ39" s="704"/>
      <c r="CAK39" s="704"/>
      <c r="CAL39" s="704"/>
      <c r="CAM39" s="704"/>
      <c r="CAN39" s="704"/>
      <c r="CAO39" s="704"/>
      <c r="CAP39" s="704"/>
      <c r="CAQ39" s="704"/>
      <c r="CAR39" s="704"/>
      <c r="CAS39" s="704"/>
      <c r="CAT39" s="704"/>
      <c r="CAU39" s="704"/>
      <c r="CAV39" s="704"/>
      <c r="CAW39" s="704"/>
      <c r="CAX39" s="704"/>
      <c r="CAY39" s="704"/>
      <c r="CAZ39" s="704"/>
      <c r="CBA39" s="704"/>
      <c r="CBB39" s="704"/>
      <c r="CBC39" s="704"/>
      <c r="CBD39" s="704"/>
      <c r="CBE39" s="704"/>
      <c r="CBF39" s="704"/>
      <c r="CBG39" s="704"/>
      <c r="CBH39" s="704"/>
      <c r="CBI39" s="704"/>
      <c r="CBJ39" s="704"/>
      <c r="CBK39" s="704"/>
      <c r="CBL39" s="704"/>
      <c r="CBM39" s="704"/>
      <c r="CBN39" s="704"/>
      <c r="CBO39" s="704"/>
      <c r="CBP39" s="704"/>
      <c r="CBQ39" s="704"/>
      <c r="CBR39" s="704"/>
      <c r="CBS39" s="704"/>
      <c r="CBT39" s="704"/>
      <c r="CBU39" s="704"/>
      <c r="CBV39" s="704"/>
      <c r="CBW39" s="704"/>
      <c r="CBX39" s="704"/>
      <c r="CBY39" s="704"/>
      <c r="CBZ39" s="704"/>
      <c r="CCA39" s="704"/>
      <c r="CCB39" s="704"/>
      <c r="CCC39" s="704"/>
      <c r="CCD39" s="704"/>
      <c r="CCE39" s="704"/>
      <c r="CCF39" s="704"/>
      <c r="CCG39" s="704"/>
      <c r="CCH39" s="704"/>
      <c r="CCI39" s="704"/>
      <c r="CCJ39" s="704"/>
      <c r="CCK39" s="704"/>
      <c r="CCL39" s="704"/>
      <c r="CCM39" s="704"/>
      <c r="CCN39" s="704"/>
      <c r="CCO39" s="704"/>
      <c r="CCP39" s="704"/>
      <c r="CCQ39" s="704"/>
      <c r="CCR39" s="704"/>
      <c r="CCS39" s="704"/>
      <c r="CCT39" s="704"/>
      <c r="CCU39" s="704"/>
      <c r="CCV39" s="704"/>
      <c r="CCW39" s="704"/>
      <c r="CCX39" s="704"/>
      <c r="CCY39" s="704"/>
      <c r="CCZ39" s="704"/>
      <c r="CDA39" s="704"/>
      <c r="CDB39" s="704"/>
      <c r="CDC39" s="704"/>
      <c r="CDD39" s="704"/>
      <c r="CDE39" s="704"/>
      <c r="CDF39" s="704"/>
      <c r="CDG39" s="704"/>
      <c r="CDH39" s="704"/>
      <c r="CDI39" s="704"/>
      <c r="CDJ39" s="704"/>
      <c r="CDK39" s="704"/>
      <c r="CDL39" s="704"/>
      <c r="CDM39" s="704"/>
      <c r="CDN39" s="704"/>
      <c r="CDO39" s="704"/>
      <c r="CDP39" s="704"/>
      <c r="CDQ39" s="704"/>
      <c r="CDR39" s="704"/>
      <c r="CDS39" s="704"/>
      <c r="CDT39" s="704"/>
      <c r="CDU39" s="704"/>
      <c r="CDV39" s="704"/>
      <c r="CDW39" s="704"/>
      <c r="CDX39" s="704"/>
      <c r="CDY39" s="704"/>
      <c r="CDZ39" s="704"/>
      <c r="CEA39" s="704"/>
      <c r="CEB39" s="704"/>
      <c r="CEC39" s="704"/>
      <c r="CED39" s="704"/>
      <c r="CEE39" s="704"/>
      <c r="CEF39" s="704"/>
      <c r="CEG39" s="704"/>
      <c r="CEH39" s="704"/>
      <c r="CEI39" s="704"/>
      <c r="CEJ39" s="704"/>
      <c r="CEK39" s="704"/>
      <c r="CEL39" s="704"/>
      <c r="CEM39" s="704"/>
      <c r="CEN39" s="704"/>
      <c r="CEO39" s="704"/>
      <c r="CEP39" s="704"/>
      <c r="CEQ39" s="704"/>
      <c r="CER39" s="704"/>
      <c r="CES39" s="704"/>
      <c r="CET39" s="704"/>
      <c r="CEU39" s="704"/>
      <c r="CEV39" s="704"/>
      <c r="CEW39" s="704"/>
      <c r="CEX39" s="704"/>
      <c r="CEY39" s="704"/>
      <c r="CEZ39" s="704"/>
      <c r="CFA39" s="704"/>
      <c r="CFB39" s="704"/>
      <c r="CFC39" s="704"/>
      <c r="CFD39" s="704"/>
      <c r="CFE39" s="704"/>
      <c r="CFF39" s="704"/>
      <c r="CFG39" s="704"/>
      <c r="CFH39" s="704"/>
      <c r="CFI39" s="704"/>
      <c r="CFJ39" s="704"/>
      <c r="CFK39" s="704"/>
      <c r="CFL39" s="704"/>
      <c r="CFM39" s="704"/>
      <c r="CFN39" s="704"/>
      <c r="CFO39" s="704"/>
      <c r="CFP39" s="704"/>
      <c r="CFQ39" s="704"/>
      <c r="CFR39" s="704"/>
      <c r="CFS39" s="704"/>
      <c r="CFT39" s="704"/>
      <c r="CFU39" s="704"/>
      <c r="CFV39" s="704"/>
      <c r="CFW39" s="704"/>
      <c r="CFX39" s="704"/>
      <c r="CFY39" s="704"/>
      <c r="CFZ39" s="704"/>
      <c r="CGA39" s="704"/>
      <c r="CGB39" s="704"/>
      <c r="CGC39" s="704"/>
      <c r="CGD39" s="704"/>
      <c r="CGE39" s="704"/>
      <c r="CGF39" s="704"/>
      <c r="CGG39" s="704"/>
      <c r="CGH39" s="704"/>
      <c r="CGI39" s="704"/>
      <c r="CGJ39" s="704"/>
      <c r="CGK39" s="704"/>
      <c r="CGL39" s="704"/>
      <c r="CGM39" s="704"/>
      <c r="CGN39" s="704"/>
      <c r="CGO39" s="704"/>
      <c r="CGP39" s="704"/>
      <c r="CGQ39" s="704"/>
      <c r="CGR39" s="704"/>
      <c r="CGS39" s="704"/>
      <c r="CGT39" s="704"/>
      <c r="CGU39" s="704"/>
      <c r="CGV39" s="704"/>
      <c r="CGW39" s="704"/>
      <c r="CGX39" s="704"/>
      <c r="CGY39" s="704"/>
      <c r="CGZ39" s="704"/>
      <c r="CHA39" s="704"/>
      <c r="CHB39" s="704"/>
      <c r="CHC39" s="704"/>
      <c r="CHD39" s="704"/>
      <c r="CHE39" s="704"/>
      <c r="CHF39" s="704"/>
      <c r="CHG39" s="704"/>
      <c r="CHH39" s="704"/>
      <c r="CHI39" s="704"/>
      <c r="CHJ39" s="704"/>
      <c r="CHK39" s="704"/>
      <c r="CHL39" s="704"/>
      <c r="CHM39" s="704"/>
      <c r="CHN39" s="704"/>
      <c r="CHO39" s="704"/>
      <c r="CHP39" s="704"/>
      <c r="CHQ39" s="704"/>
      <c r="CHR39" s="704"/>
      <c r="CHS39" s="704"/>
      <c r="CHT39" s="704"/>
      <c r="CHU39" s="704"/>
      <c r="CHV39" s="704"/>
      <c r="CHW39" s="704"/>
      <c r="CHX39" s="704"/>
      <c r="CHY39" s="704"/>
      <c r="CHZ39" s="704"/>
      <c r="CIA39" s="704"/>
      <c r="CIB39" s="704"/>
      <c r="CIC39" s="704"/>
      <c r="CID39" s="704"/>
      <c r="CIE39" s="704"/>
      <c r="CIF39" s="704"/>
      <c r="CIG39" s="704"/>
      <c r="CIH39" s="704"/>
      <c r="CII39" s="704"/>
      <c r="CIJ39" s="704"/>
      <c r="CIK39" s="704"/>
      <c r="CIL39" s="704"/>
      <c r="CIM39" s="704"/>
      <c r="CIN39" s="704"/>
      <c r="CIO39" s="704"/>
      <c r="CIP39" s="704"/>
      <c r="CIQ39" s="704"/>
      <c r="CIR39" s="704"/>
      <c r="CIS39" s="704"/>
      <c r="CIT39" s="704"/>
      <c r="CIU39" s="704"/>
      <c r="CIV39" s="704"/>
      <c r="CIW39" s="704"/>
      <c r="CIX39" s="704"/>
      <c r="CIY39" s="704"/>
      <c r="CIZ39" s="704"/>
      <c r="CJA39" s="704"/>
      <c r="CJB39" s="704"/>
      <c r="CJC39" s="704"/>
      <c r="CJD39" s="704"/>
      <c r="CJE39" s="704"/>
      <c r="CJF39" s="704"/>
      <c r="CJG39" s="704"/>
      <c r="CJH39" s="704"/>
      <c r="CJI39" s="704"/>
      <c r="CJJ39" s="704"/>
      <c r="CJK39" s="704"/>
      <c r="CJL39" s="704"/>
      <c r="CJM39" s="704"/>
      <c r="CJN39" s="704"/>
      <c r="CJO39" s="704"/>
      <c r="CJP39" s="704"/>
      <c r="CJQ39" s="704"/>
      <c r="CJR39" s="704"/>
      <c r="CJS39" s="704"/>
      <c r="CJT39" s="704"/>
      <c r="CJU39" s="704"/>
      <c r="CJV39" s="704"/>
      <c r="CJW39" s="704"/>
      <c r="CJX39" s="704"/>
      <c r="CJY39" s="704"/>
      <c r="CJZ39" s="704"/>
      <c r="CKA39" s="704"/>
      <c r="CKB39" s="704"/>
      <c r="CKC39" s="704"/>
      <c r="CKD39" s="704"/>
      <c r="CKE39" s="704"/>
      <c r="CKF39" s="704"/>
      <c r="CKG39" s="704"/>
      <c r="CKH39" s="704"/>
      <c r="CKI39" s="704"/>
      <c r="CKJ39" s="704"/>
      <c r="CKK39" s="704"/>
      <c r="CKL39" s="704"/>
      <c r="CKM39" s="704"/>
      <c r="CKN39" s="704"/>
      <c r="CKO39" s="704"/>
      <c r="CKP39" s="704"/>
      <c r="CKQ39" s="704"/>
      <c r="CKR39" s="704"/>
      <c r="CKS39" s="704"/>
      <c r="CKT39" s="704"/>
      <c r="CKU39" s="704"/>
      <c r="CKV39" s="704"/>
      <c r="CKW39" s="704"/>
      <c r="CKX39" s="704"/>
      <c r="CKY39" s="704"/>
      <c r="CKZ39" s="704"/>
      <c r="CLA39" s="704"/>
      <c r="CLB39" s="704"/>
      <c r="CLC39" s="704"/>
      <c r="CLD39" s="704"/>
      <c r="CLE39" s="704"/>
      <c r="CLF39" s="704"/>
      <c r="CLG39" s="704"/>
      <c r="CLH39" s="704"/>
      <c r="CLI39" s="704"/>
      <c r="CLJ39" s="704"/>
      <c r="CLK39" s="704"/>
      <c r="CLL39" s="704"/>
      <c r="CLM39" s="704"/>
      <c r="CLN39" s="704"/>
      <c r="CLO39" s="704"/>
      <c r="CLP39" s="704"/>
      <c r="CLQ39" s="704"/>
      <c r="CLR39" s="704"/>
      <c r="CLS39" s="704"/>
      <c r="CLT39" s="704"/>
      <c r="CLU39" s="704"/>
      <c r="CLV39" s="704"/>
      <c r="CLW39" s="704"/>
      <c r="CLX39" s="704"/>
      <c r="CLY39" s="704"/>
      <c r="CLZ39" s="704"/>
      <c r="CMA39" s="704"/>
      <c r="CMB39" s="704"/>
      <c r="CMC39" s="704"/>
      <c r="CMD39" s="704"/>
      <c r="CME39" s="704"/>
      <c r="CMF39" s="704"/>
      <c r="CMG39" s="704"/>
      <c r="CMH39" s="704"/>
      <c r="CMI39" s="704"/>
      <c r="CMJ39" s="704"/>
      <c r="CMK39" s="704"/>
      <c r="CML39" s="704"/>
      <c r="CMM39" s="704"/>
      <c r="CMN39" s="704"/>
      <c r="CMO39" s="704"/>
      <c r="CMP39" s="704"/>
      <c r="CMQ39" s="704"/>
      <c r="CMR39" s="704"/>
      <c r="CMS39" s="704"/>
      <c r="CMT39" s="704"/>
      <c r="CMU39" s="704"/>
      <c r="CMV39" s="704"/>
      <c r="CMW39" s="704"/>
      <c r="CMX39" s="704"/>
      <c r="CMY39" s="704"/>
      <c r="CMZ39" s="704"/>
      <c r="CNA39" s="704"/>
      <c r="CNB39" s="704"/>
      <c r="CNC39" s="704"/>
      <c r="CND39" s="704"/>
      <c r="CNE39" s="704"/>
      <c r="CNF39" s="704"/>
      <c r="CNG39" s="704"/>
      <c r="CNH39" s="704"/>
      <c r="CNI39" s="704"/>
      <c r="CNJ39" s="704"/>
      <c r="CNK39" s="704"/>
      <c r="CNL39" s="704"/>
      <c r="CNM39" s="704"/>
      <c r="CNN39" s="704"/>
      <c r="CNO39" s="704"/>
      <c r="CNP39" s="704"/>
      <c r="CNQ39" s="704"/>
      <c r="CNR39" s="704"/>
      <c r="CNS39" s="704"/>
      <c r="CNT39" s="704"/>
      <c r="CNU39" s="704"/>
      <c r="CNV39" s="704"/>
      <c r="CNW39" s="704"/>
      <c r="CNX39" s="704"/>
      <c r="CNY39" s="704"/>
      <c r="CNZ39" s="704"/>
      <c r="COA39" s="704"/>
      <c r="COB39" s="704"/>
      <c r="COC39" s="704"/>
      <c r="COD39" s="704"/>
      <c r="COE39" s="704"/>
      <c r="COF39" s="704"/>
      <c r="COG39" s="704"/>
      <c r="COH39" s="704"/>
      <c r="COI39" s="704"/>
      <c r="COJ39" s="704"/>
      <c r="COK39" s="704"/>
      <c r="COL39" s="704"/>
      <c r="COM39" s="704"/>
      <c r="CON39" s="704"/>
      <c r="COO39" s="704"/>
      <c r="COP39" s="704"/>
      <c r="COQ39" s="704"/>
      <c r="COR39" s="704"/>
      <c r="COS39" s="704"/>
      <c r="COT39" s="704"/>
      <c r="COU39" s="704"/>
      <c r="COV39" s="704"/>
      <c r="COW39" s="704"/>
      <c r="COX39" s="704"/>
      <c r="COY39" s="704"/>
      <c r="COZ39" s="704"/>
      <c r="CPA39" s="704"/>
      <c r="CPB39" s="704"/>
      <c r="CPC39" s="704"/>
      <c r="CPD39" s="704"/>
      <c r="CPE39" s="704"/>
      <c r="CPF39" s="704"/>
      <c r="CPG39" s="704"/>
      <c r="CPH39" s="704"/>
      <c r="CPI39" s="704"/>
      <c r="CPJ39" s="704"/>
      <c r="CPK39" s="704"/>
      <c r="CPL39" s="704"/>
      <c r="CPM39" s="704"/>
      <c r="CPN39" s="704"/>
      <c r="CPO39" s="704"/>
      <c r="CPP39" s="704"/>
      <c r="CPQ39" s="704"/>
      <c r="CPR39" s="704"/>
      <c r="CPS39" s="704"/>
      <c r="CPT39" s="704"/>
      <c r="CPU39" s="704"/>
      <c r="CPV39" s="704"/>
      <c r="CPW39" s="704"/>
      <c r="CPX39" s="704"/>
      <c r="CPY39" s="704"/>
      <c r="CPZ39" s="704"/>
      <c r="CQA39" s="704"/>
      <c r="CQB39" s="704"/>
      <c r="CQC39" s="704"/>
      <c r="CQD39" s="704"/>
      <c r="CQE39" s="704"/>
      <c r="CQF39" s="704"/>
      <c r="CQG39" s="704"/>
      <c r="CQH39" s="704"/>
      <c r="CQI39" s="704"/>
      <c r="CQJ39" s="704"/>
      <c r="CQK39" s="704"/>
      <c r="CQL39" s="704"/>
      <c r="CQM39" s="704"/>
      <c r="CQN39" s="704"/>
      <c r="CQO39" s="704"/>
      <c r="CQP39" s="704"/>
      <c r="CQQ39" s="704"/>
      <c r="CQR39" s="704"/>
      <c r="CQS39" s="704"/>
      <c r="CQT39" s="704"/>
      <c r="CQU39" s="704"/>
      <c r="CQV39" s="704"/>
      <c r="CQW39" s="704"/>
      <c r="CQX39" s="704"/>
      <c r="CQY39" s="704"/>
      <c r="CQZ39" s="704"/>
      <c r="CRA39" s="704"/>
      <c r="CRB39" s="704"/>
      <c r="CRC39" s="704"/>
      <c r="CRD39" s="704"/>
      <c r="CRE39" s="704"/>
      <c r="CRF39" s="704"/>
      <c r="CRG39" s="704"/>
      <c r="CRH39" s="704"/>
      <c r="CRI39" s="704"/>
      <c r="CRJ39" s="704"/>
      <c r="CRK39" s="704"/>
      <c r="CRL39" s="704"/>
      <c r="CRM39" s="704"/>
      <c r="CRN39" s="704"/>
      <c r="CRO39" s="704"/>
      <c r="CRP39" s="704"/>
      <c r="CRQ39" s="704"/>
      <c r="CRR39" s="704"/>
      <c r="CRS39" s="704"/>
      <c r="CRT39" s="704"/>
      <c r="CRU39" s="704"/>
      <c r="CRV39" s="704"/>
      <c r="CRW39" s="704"/>
      <c r="CRX39" s="704"/>
      <c r="CRY39" s="704"/>
      <c r="CRZ39" s="704"/>
      <c r="CSA39" s="704"/>
      <c r="CSB39" s="704"/>
      <c r="CSC39" s="704"/>
      <c r="CSD39" s="704"/>
      <c r="CSE39" s="704"/>
      <c r="CSF39" s="704"/>
      <c r="CSG39" s="704"/>
      <c r="CSH39" s="704"/>
      <c r="CSI39" s="704"/>
      <c r="CSJ39" s="704"/>
      <c r="CSK39" s="704"/>
      <c r="CSL39" s="704"/>
      <c r="CSM39" s="704"/>
      <c r="CSN39" s="704"/>
      <c r="CSO39" s="704"/>
      <c r="CSP39" s="704"/>
      <c r="CSQ39" s="704"/>
      <c r="CSR39" s="704"/>
      <c r="CSS39" s="704"/>
      <c r="CST39" s="704"/>
      <c r="CSU39" s="704"/>
      <c r="CSV39" s="704"/>
      <c r="CSW39" s="704"/>
      <c r="CSX39" s="704"/>
      <c r="CSY39" s="704"/>
      <c r="CSZ39" s="704"/>
      <c r="CTA39" s="704"/>
      <c r="CTB39" s="704"/>
      <c r="CTC39" s="704"/>
      <c r="CTD39" s="704"/>
      <c r="CTE39" s="704"/>
      <c r="CTF39" s="704"/>
      <c r="CTG39" s="704"/>
      <c r="CTH39" s="704"/>
      <c r="CTI39" s="704"/>
      <c r="CTJ39" s="704"/>
      <c r="CTK39" s="704"/>
      <c r="CTL39" s="704"/>
      <c r="CTM39" s="704"/>
      <c r="CTN39" s="704"/>
      <c r="CTO39" s="704"/>
      <c r="CTP39" s="704"/>
      <c r="CTQ39" s="704"/>
      <c r="CTR39" s="704"/>
      <c r="CTS39" s="704"/>
      <c r="CTT39" s="704"/>
      <c r="CTU39" s="704"/>
      <c r="CTV39" s="704"/>
      <c r="CTW39" s="704"/>
      <c r="CTX39" s="704"/>
      <c r="CTY39" s="704"/>
      <c r="CTZ39" s="704"/>
      <c r="CUA39" s="704"/>
      <c r="CUB39" s="704"/>
      <c r="CUC39" s="704"/>
      <c r="CUD39" s="704"/>
      <c r="CUE39" s="704"/>
      <c r="CUF39" s="704"/>
      <c r="CUG39" s="704"/>
      <c r="CUH39" s="704"/>
      <c r="CUI39" s="704"/>
      <c r="CUJ39" s="704"/>
      <c r="CUK39" s="704"/>
      <c r="CUL39" s="704"/>
      <c r="CUM39" s="704"/>
      <c r="CUN39" s="704"/>
      <c r="CUO39" s="704"/>
      <c r="CUP39" s="704"/>
      <c r="CUQ39" s="704"/>
      <c r="CUR39" s="704"/>
      <c r="CUS39" s="704"/>
      <c r="CUT39" s="704"/>
      <c r="CUU39" s="704"/>
      <c r="CUV39" s="704"/>
      <c r="CUW39" s="704"/>
      <c r="CUX39" s="704"/>
      <c r="CUY39" s="704"/>
      <c r="CUZ39" s="704"/>
      <c r="CVA39" s="704"/>
      <c r="CVB39" s="704"/>
      <c r="CVC39" s="704"/>
      <c r="CVD39" s="704"/>
      <c r="CVE39" s="704"/>
      <c r="CVF39" s="704"/>
      <c r="CVG39" s="704"/>
      <c r="CVH39" s="704"/>
      <c r="CVI39" s="704"/>
      <c r="CVJ39" s="704"/>
      <c r="CVK39" s="704"/>
      <c r="CVL39" s="704"/>
      <c r="CVM39" s="704"/>
      <c r="CVN39" s="704"/>
      <c r="CVO39" s="704"/>
      <c r="CVP39" s="704"/>
      <c r="CVQ39" s="704"/>
      <c r="CVR39" s="704"/>
      <c r="CVS39" s="704"/>
      <c r="CVT39" s="704"/>
      <c r="CVU39" s="704"/>
      <c r="CVV39" s="704"/>
      <c r="CVW39" s="704"/>
      <c r="CVX39" s="704"/>
      <c r="CVY39" s="704"/>
      <c r="CVZ39" s="704"/>
      <c r="CWA39" s="704"/>
      <c r="CWB39" s="704"/>
      <c r="CWC39" s="704"/>
      <c r="CWD39" s="704"/>
      <c r="CWE39" s="704"/>
      <c r="CWF39" s="704"/>
      <c r="CWG39" s="704"/>
      <c r="CWH39" s="704"/>
      <c r="CWI39" s="704"/>
      <c r="CWJ39" s="704"/>
      <c r="CWK39" s="704"/>
      <c r="CWL39" s="704"/>
      <c r="CWM39" s="704"/>
      <c r="CWN39" s="704"/>
      <c r="CWO39" s="704"/>
      <c r="CWP39" s="704"/>
      <c r="CWQ39" s="704"/>
      <c r="CWR39" s="704"/>
      <c r="CWS39" s="704"/>
      <c r="CWT39" s="704"/>
      <c r="CWU39" s="704"/>
      <c r="CWV39" s="704"/>
      <c r="CWW39" s="704"/>
      <c r="CWX39" s="704"/>
      <c r="CWY39" s="704"/>
      <c r="CWZ39" s="704"/>
      <c r="CXA39" s="704"/>
      <c r="CXB39" s="704"/>
      <c r="CXC39" s="704"/>
      <c r="CXD39" s="704"/>
      <c r="CXE39" s="704"/>
      <c r="CXF39" s="704"/>
      <c r="CXG39" s="704"/>
      <c r="CXH39" s="704"/>
      <c r="CXI39" s="704"/>
      <c r="CXJ39" s="704"/>
      <c r="CXK39" s="704"/>
      <c r="CXL39" s="704"/>
      <c r="CXM39" s="704"/>
      <c r="CXN39" s="704"/>
      <c r="CXO39" s="704"/>
      <c r="CXP39" s="704"/>
      <c r="CXQ39" s="704"/>
      <c r="CXR39" s="704"/>
      <c r="CXS39" s="704"/>
      <c r="CXT39" s="704"/>
      <c r="CXU39" s="704"/>
      <c r="CXV39" s="704"/>
      <c r="CXW39" s="704"/>
      <c r="CXX39" s="704"/>
      <c r="CXY39" s="704"/>
      <c r="CXZ39" s="704"/>
      <c r="CYA39" s="704"/>
      <c r="CYB39" s="704"/>
      <c r="CYC39" s="704"/>
      <c r="CYD39" s="704"/>
      <c r="CYE39" s="704"/>
      <c r="CYF39" s="704"/>
      <c r="CYG39" s="704"/>
      <c r="CYH39" s="704"/>
      <c r="CYI39" s="704"/>
      <c r="CYJ39" s="704"/>
      <c r="CYK39" s="704"/>
      <c r="CYL39" s="704"/>
      <c r="CYM39" s="704"/>
      <c r="CYN39" s="704"/>
      <c r="CYO39" s="704"/>
      <c r="CYP39" s="704"/>
      <c r="CYQ39" s="704"/>
      <c r="CYR39" s="704"/>
      <c r="CYS39" s="704"/>
      <c r="CYT39" s="704"/>
      <c r="CYU39" s="704"/>
      <c r="CYV39" s="704"/>
      <c r="CYW39" s="704"/>
      <c r="CYX39" s="704"/>
      <c r="CYY39" s="704"/>
      <c r="CYZ39" s="704"/>
      <c r="CZA39" s="704"/>
      <c r="CZB39" s="704"/>
      <c r="CZC39" s="704"/>
      <c r="CZD39" s="704"/>
      <c r="CZE39" s="704"/>
      <c r="CZF39" s="704"/>
      <c r="CZG39" s="704"/>
      <c r="CZH39" s="704"/>
      <c r="CZI39" s="704"/>
      <c r="CZJ39" s="704"/>
      <c r="CZK39" s="704"/>
      <c r="CZL39" s="704"/>
      <c r="CZM39" s="704"/>
      <c r="CZN39" s="704"/>
      <c r="CZO39" s="704"/>
      <c r="CZP39" s="704"/>
      <c r="CZQ39" s="704"/>
      <c r="CZR39" s="704"/>
      <c r="CZS39" s="704"/>
      <c r="CZT39" s="704"/>
      <c r="CZU39" s="704"/>
      <c r="CZV39" s="704"/>
      <c r="CZW39" s="704"/>
      <c r="CZX39" s="704"/>
      <c r="CZY39" s="704"/>
      <c r="CZZ39" s="704"/>
      <c r="DAA39" s="704"/>
      <c r="DAB39" s="704"/>
      <c r="DAC39" s="704"/>
      <c r="DAD39" s="704"/>
      <c r="DAE39" s="704"/>
      <c r="DAF39" s="704"/>
      <c r="DAG39" s="704"/>
      <c r="DAH39" s="704"/>
      <c r="DAI39" s="704"/>
      <c r="DAJ39" s="704"/>
      <c r="DAK39" s="704"/>
      <c r="DAL39" s="704"/>
      <c r="DAM39" s="704"/>
      <c r="DAN39" s="704"/>
      <c r="DAO39" s="704"/>
      <c r="DAP39" s="704"/>
      <c r="DAQ39" s="704"/>
      <c r="DAR39" s="704"/>
      <c r="DAS39" s="704"/>
      <c r="DAT39" s="704"/>
      <c r="DAU39" s="704"/>
      <c r="DAV39" s="704"/>
      <c r="DAW39" s="704"/>
      <c r="DAX39" s="704"/>
      <c r="DAY39" s="704"/>
      <c r="DAZ39" s="704"/>
      <c r="DBA39" s="704"/>
      <c r="DBB39" s="704"/>
      <c r="DBC39" s="704"/>
      <c r="DBD39" s="704"/>
      <c r="DBE39" s="704"/>
      <c r="DBF39" s="704"/>
      <c r="DBG39" s="704"/>
      <c r="DBH39" s="704"/>
      <c r="DBI39" s="704"/>
      <c r="DBJ39" s="704"/>
      <c r="DBK39" s="704"/>
      <c r="DBL39" s="704"/>
      <c r="DBM39" s="704"/>
      <c r="DBN39" s="704"/>
      <c r="DBO39" s="704"/>
      <c r="DBP39" s="704"/>
      <c r="DBQ39" s="704"/>
      <c r="DBR39" s="704"/>
      <c r="DBS39" s="704"/>
      <c r="DBT39" s="704"/>
      <c r="DBU39" s="704"/>
      <c r="DBV39" s="704"/>
      <c r="DBW39" s="704"/>
      <c r="DBX39" s="704"/>
      <c r="DBY39" s="704"/>
      <c r="DBZ39" s="704"/>
      <c r="DCA39" s="704"/>
      <c r="DCB39" s="704"/>
      <c r="DCC39" s="704"/>
      <c r="DCD39" s="704"/>
      <c r="DCE39" s="704"/>
      <c r="DCF39" s="704"/>
      <c r="DCG39" s="704"/>
      <c r="DCH39" s="704"/>
      <c r="DCI39" s="704"/>
      <c r="DCJ39" s="704"/>
      <c r="DCK39" s="704"/>
      <c r="DCL39" s="704"/>
      <c r="DCM39" s="704"/>
      <c r="DCN39" s="704"/>
      <c r="DCO39" s="704"/>
      <c r="DCP39" s="704"/>
      <c r="DCQ39" s="704"/>
      <c r="DCR39" s="704"/>
      <c r="DCS39" s="704"/>
      <c r="DCT39" s="704"/>
      <c r="DCU39" s="704"/>
      <c r="DCV39" s="704"/>
      <c r="DCW39" s="704"/>
      <c r="DCX39" s="704"/>
      <c r="DCY39" s="704"/>
      <c r="DCZ39" s="704"/>
      <c r="DDA39" s="704"/>
      <c r="DDB39" s="704"/>
      <c r="DDC39" s="704"/>
      <c r="DDD39" s="704"/>
      <c r="DDE39" s="704"/>
      <c r="DDF39" s="704"/>
      <c r="DDG39" s="704"/>
      <c r="DDH39" s="704"/>
      <c r="DDI39" s="704"/>
      <c r="DDJ39" s="704"/>
      <c r="DDK39" s="704"/>
      <c r="DDL39" s="704"/>
      <c r="DDM39" s="704"/>
      <c r="DDN39" s="704"/>
      <c r="DDO39" s="704"/>
      <c r="DDP39" s="704"/>
      <c r="DDQ39" s="704"/>
      <c r="DDR39" s="704"/>
      <c r="DDS39" s="704"/>
      <c r="DDT39" s="704"/>
      <c r="DDU39" s="704"/>
      <c r="DDV39" s="704"/>
      <c r="DDW39" s="704"/>
      <c r="DDX39" s="704"/>
      <c r="DDY39" s="704"/>
      <c r="DDZ39" s="704"/>
      <c r="DEA39" s="704"/>
      <c r="DEB39" s="704"/>
      <c r="DEC39" s="704"/>
      <c r="DED39" s="704"/>
      <c r="DEE39" s="704"/>
      <c r="DEF39" s="704"/>
      <c r="DEG39" s="704"/>
      <c r="DEH39" s="704"/>
      <c r="DEI39" s="704"/>
      <c r="DEJ39" s="704"/>
      <c r="DEK39" s="704"/>
      <c r="DEL39" s="704"/>
      <c r="DEM39" s="704"/>
      <c r="DEN39" s="704"/>
      <c r="DEO39" s="704"/>
      <c r="DEP39" s="704"/>
      <c r="DEQ39" s="704"/>
      <c r="DER39" s="704"/>
      <c r="DES39" s="704"/>
      <c r="DET39" s="704"/>
      <c r="DEU39" s="704"/>
      <c r="DEV39" s="704"/>
      <c r="DEW39" s="704"/>
      <c r="DEX39" s="704"/>
      <c r="DEY39" s="704"/>
      <c r="DEZ39" s="704"/>
      <c r="DFA39" s="704"/>
      <c r="DFB39" s="704"/>
      <c r="DFC39" s="704"/>
      <c r="DFD39" s="704"/>
      <c r="DFE39" s="704"/>
      <c r="DFF39" s="704"/>
      <c r="DFG39" s="704"/>
      <c r="DFH39" s="704"/>
      <c r="DFI39" s="704"/>
      <c r="DFJ39" s="704"/>
      <c r="DFK39" s="704"/>
      <c r="DFL39" s="704"/>
      <c r="DFM39" s="704"/>
      <c r="DFN39" s="704"/>
      <c r="DFO39" s="704"/>
      <c r="DFP39" s="704"/>
      <c r="DFQ39" s="704"/>
      <c r="DFR39" s="704"/>
      <c r="DFS39" s="704"/>
      <c r="DFT39" s="704"/>
      <c r="DFU39" s="704"/>
      <c r="DFV39" s="704"/>
      <c r="DFW39" s="704"/>
      <c r="DFX39" s="704"/>
      <c r="DFY39" s="704"/>
      <c r="DFZ39" s="704"/>
      <c r="DGA39" s="704"/>
      <c r="DGB39" s="704"/>
      <c r="DGC39" s="704"/>
      <c r="DGD39" s="704"/>
      <c r="DGE39" s="704"/>
      <c r="DGF39" s="704"/>
      <c r="DGG39" s="704"/>
      <c r="DGH39" s="704"/>
      <c r="DGI39" s="704"/>
      <c r="DGJ39" s="704"/>
      <c r="DGK39" s="704"/>
      <c r="DGL39" s="704"/>
      <c r="DGM39" s="704"/>
      <c r="DGN39" s="704"/>
      <c r="DGO39" s="704"/>
      <c r="DGP39" s="704"/>
      <c r="DGQ39" s="704"/>
      <c r="DGR39" s="704"/>
      <c r="DGS39" s="704"/>
      <c r="DGT39" s="704"/>
      <c r="DGU39" s="704"/>
      <c r="DGV39" s="704"/>
      <c r="DGW39" s="704"/>
      <c r="DGX39" s="704"/>
      <c r="DGY39" s="704"/>
      <c r="DGZ39" s="704"/>
      <c r="DHA39" s="704"/>
      <c r="DHB39" s="704"/>
      <c r="DHC39" s="704"/>
      <c r="DHD39" s="704"/>
      <c r="DHE39" s="704"/>
      <c r="DHF39" s="704"/>
      <c r="DHG39" s="704"/>
      <c r="DHH39" s="704"/>
      <c r="DHI39" s="704"/>
      <c r="DHJ39" s="704"/>
      <c r="DHK39" s="704"/>
      <c r="DHL39" s="704"/>
      <c r="DHM39" s="704"/>
      <c r="DHN39" s="704"/>
      <c r="DHO39" s="704"/>
      <c r="DHP39" s="704"/>
      <c r="DHQ39" s="704"/>
      <c r="DHR39" s="704"/>
      <c r="DHS39" s="704"/>
      <c r="DHT39" s="704"/>
      <c r="DHU39" s="704"/>
      <c r="DHV39" s="704"/>
      <c r="DHW39" s="704"/>
      <c r="DHX39" s="704"/>
      <c r="DHY39" s="704"/>
      <c r="DHZ39" s="704"/>
      <c r="DIA39" s="704"/>
      <c r="DIB39" s="704"/>
      <c r="DIC39" s="704"/>
      <c r="DID39" s="704"/>
      <c r="DIE39" s="704"/>
      <c r="DIF39" s="704"/>
      <c r="DIG39" s="704"/>
      <c r="DIH39" s="704"/>
      <c r="DII39" s="704"/>
      <c r="DIJ39" s="704"/>
      <c r="DIK39" s="704"/>
      <c r="DIL39" s="704"/>
      <c r="DIM39" s="704"/>
      <c r="DIN39" s="704"/>
      <c r="DIO39" s="704"/>
      <c r="DIP39" s="704"/>
      <c r="DIQ39" s="704"/>
      <c r="DIR39" s="704"/>
      <c r="DIS39" s="704"/>
      <c r="DIT39" s="704"/>
      <c r="DIU39" s="704"/>
      <c r="DIV39" s="704"/>
      <c r="DIW39" s="704"/>
      <c r="DIX39" s="704"/>
      <c r="DIY39" s="704"/>
      <c r="DIZ39" s="704"/>
      <c r="DJA39" s="704"/>
      <c r="DJB39" s="704"/>
      <c r="DJC39" s="704"/>
      <c r="DJD39" s="704"/>
      <c r="DJE39" s="704"/>
      <c r="DJF39" s="704"/>
      <c r="DJG39" s="704"/>
      <c r="DJH39" s="704"/>
      <c r="DJI39" s="704"/>
      <c r="DJJ39" s="704"/>
      <c r="DJK39" s="704"/>
      <c r="DJL39" s="704"/>
      <c r="DJM39" s="704"/>
      <c r="DJN39" s="704"/>
      <c r="DJO39" s="704"/>
      <c r="DJP39" s="704"/>
      <c r="DJQ39" s="704"/>
      <c r="DJR39" s="704"/>
      <c r="DJS39" s="704"/>
      <c r="DJT39" s="704"/>
      <c r="DJU39" s="704"/>
      <c r="DJV39" s="704"/>
      <c r="DJW39" s="704"/>
      <c r="DJX39" s="704"/>
      <c r="DJY39" s="704"/>
      <c r="DJZ39" s="704"/>
      <c r="DKA39" s="704"/>
      <c r="DKB39" s="704"/>
      <c r="DKC39" s="704"/>
      <c r="DKD39" s="704"/>
      <c r="DKE39" s="704"/>
      <c r="DKF39" s="704"/>
      <c r="DKG39" s="704"/>
      <c r="DKH39" s="704"/>
      <c r="DKI39" s="704"/>
      <c r="DKJ39" s="704"/>
      <c r="DKK39" s="704"/>
      <c r="DKL39" s="704"/>
      <c r="DKM39" s="704"/>
      <c r="DKN39" s="704"/>
      <c r="DKO39" s="704"/>
      <c r="DKP39" s="704"/>
      <c r="DKQ39" s="704"/>
      <c r="DKR39" s="704"/>
      <c r="DKS39" s="704"/>
      <c r="DKT39" s="704"/>
      <c r="DKU39" s="704"/>
      <c r="DKV39" s="704"/>
      <c r="DKW39" s="704"/>
      <c r="DKX39" s="704"/>
      <c r="DKY39" s="704"/>
      <c r="DKZ39" s="704"/>
      <c r="DLA39" s="704"/>
      <c r="DLB39" s="704"/>
      <c r="DLC39" s="704"/>
      <c r="DLD39" s="704"/>
      <c r="DLE39" s="704"/>
      <c r="DLF39" s="704"/>
      <c r="DLG39" s="704"/>
      <c r="DLH39" s="704"/>
      <c r="DLI39" s="704"/>
      <c r="DLJ39" s="704"/>
      <c r="DLK39" s="704"/>
      <c r="DLL39" s="704"/>
      <c r="DLM39" s="704"/>
      <c r="DLN39" s="704"/>
      <c r="DLO39" s="704"/>
      <c r="DLP39" s="704"/>
      <c r="DLQ39" s="704"/>
      <c r="DLR39" s="704"/>
      <c r="DLS39" s="704"/>
      <c r="DLT39" s="704"/>
      <c r="DLU39" s="704"/>
      <c r="DLV39" s="704"/>
      <c r="DLW39" s="704"/>
      <c r="DLX39" s="704"/>
      <c r="DLY39" s="704"/>
      <c r="DLZ39" s="704"/>
      <c r="DMA39" s="704"/>
      <c r="DMB39" s="704"/>
      <c r="DMC39" s="704"/>
      <c r="DMD39" s="704"/>
      <c r="DME39" s="704"/>
      <c r="DMF39" s="704"/>
      <c r="DMG39" s="704"/>
      <c r="DMH39" s="704"/>
      <c r="DMI39" s="704"/>
      <c r="DMJ39" s="704"/>
      <c r="DMK39" s="704"/>
      <c r="DML39" s="704"/>
      <c r="DMM39" s="704"/>
      <c r="DMN39" s="704"/>
      <c r="DMO39" s="704"/>
      <c r="DMP39" s="704"/>
      <c r="DMQ39" s="704"/>
      <c r="DMR39" s="704"/>
      <c r="DMS39" s="704"/>
      <c r="DMT39" s="704"/>
      <c r="DMU39" s="704"/>
      <c r="DMV39" s="704"/>
      <c r="DMW39" s="704"/>
      <c r="DMX39" s="704"/>
      <c r="DMY39" s="704"/>
      <c r="DMZ39" s="704"/>
      <c r="DNA39" s="704"/>
      <c r="DNB39" s="704"/>
      <c r="DNC39" s="704"/>
      <c r="DND39" s="704"/>
      <c r="DNE39" s="704"/>
      <c r="DNF39" s="704"/>
      <c r="DNG39" s="704"/>
      <c r="DNH39" s="704"/>
      <c r="DNI39" s="704"/>
      <c r="DNJ39" s="704"/>
      <c r="DNK39" s="704"/>
      <c r="DNL39" s="704"/>
      <c r="DNM39" s="704"/>
      <c r="DNN39" s="704"/>
      <c r="DNO39" s="704"/>
      <c r="DNP39" s="704"/>
      <c r="DNQ39" s="704"/>
      <c r="DNR39" s="704"/>
      <c r="DNS39" s="704"/>
      <c r="DNT39" s="704"/>
      <c r="DNU39" s="704"/>
      <c r="DNV39" s="704"/>
      <c r="DNW39" s="704"/>
      <c r="DNX39" s="704"/>
      <c r="DNY39" s="704"/>
      <c r="DNZ39" s="704"/>
      <c r="DOA39" s="704"/>
      <c r="DOB39" s="704"/>
      <c r="DOC39" s="704"/>
      <c r="DOD39" s="704"/>
      <c r="DOE39" s="704"/>
      <c r="DOF39" s="704"/>
      <c r="DOG39" s="704"/>
      <c r="DOH39" s="704"/>
      <c r="DOI39" s="704"/>
      <c r="DOJ39" s="704"/>
      <c r="DOK39" s="704"/>
      <c r="DOL39" s="704"/>
      <c r="DOM39" s="704"/>
      <c r="DON39" s="704"/>
      <c r="DOO39" s="704"/>
      <c r="DOP39" s="704"/>
      <c r="DOQ39" s="704"/>
      <c r="DOR39" s="704"/>
      <c r="DOS39" s="704"/>
      <c r="DOT39" s="704"/>
      <c r="DOU39" s="704"/>
      <c r="DOV39" s="704"/>
      <c r="DOW39" s="704"/>
      <c r="DOX39" s="704"/>
      <c r="DOY39" s="704"/>
      <c r="DOZ39" s="704"/>
      <c r="DPA39" s="704"/>
      <c r="DPB39" s="704"/>
      <c r="DPC39" s="704"/>
      <c r="DPD39" s="704"/>
      <c r="DPE39" s="704"/>
      <c r="DPF39" s="704"/>
      <c r="DPG39" s="704"/>
      <c r="DPH39" s="704"/>
      <c r="DPI39" s="704"/>
      <c r="DPJ39" s="704"/>
      <c r="DPK39" s="704"/>
      <c r="DPL39" s="704"/>
      <c r="DPM39" s="704"/>
      <c r="DPN39" s="704"/>
      <c r="DPO39" s="704"/>
      <c r="DPP39" s="704"/>
      <c r="DPQ39" s="704"/>
      <c r="DPR39" s="704"/>
      <c r="DPS39" s="704"/>
      <c r="DPT39" s="704"/>
      <c r="DPU39" s="704"/>
      <c r="DPV39" s="704"/>
      <c r="DPW39" s="704"/>
      <c r="DPX39" s="704"/>
      <c r="DPY39" s="704"/>
      <c r="DPZ39" s="704"/>
      <c r="DQA39" s="704"/>
      <c r="DQB39" s="704"/>
      <c r="DQC39" s="704"/>
      <c r="DQD39" s="704"/>
      <c r="DQE39" s="704"/>
      <c r="DQF39" s="704"/>
      <c r="DQG39" s="704"/>
      <c r="DQH39" s="704"/>
      <c r="DQI39" s="704"/>
      <c r="DQJ39" s="704"/>
      <c r="DQK39" s="704"/>
      <c r="DQL39" s="704"/>
      <c r="DQM39" s="704"/>
      <c r="DQN39" s="704"/>
      <c r="DQO39" s="704"/>
      <c r="DQP39" s="704"/>
      <c r="DQQ39" s="704"/>
      <c r="DQR39" s="704"/>
      <c r="DQS39" s="704"/>
      <c r="DQT39" s="704"/>
      <c r="DQU39" s="704"/>
      <c r="DQV39" s="704"/>
      <c r="DQW39" s="704"/>
      <c r="DQX39" s="704"/>
      <c r="DQY39" s="704"/>
      <c r="DQZ39" s="704"/>
      <c r="DRA39" s="704"/>
      <c r="DRB39" s="704"/>
      <c r="DRC39" s="704"/>
      <c r="DRD39" s="704"/>
      <c r="DRE39" s="704"/>
      <c r="DRF39" s="704"/>
      <c r="DRG39" s="704"/>
      <c r="DRH39" s="704"/>
      <c r="DRI39" s="704"/>
      <c r="DRJ39" s="704"/>
      <c r="DRK39" s="704"/>
      <c r="DRL39" s="704"/>
      <c r="DRM39" s="704"/>
      <c r="DRN39" s="704"/>
      <c r="DRO39" s="704"/>
      <c r="DRP39" s="704"/>
      <c r="DRQ39" s="704"/>
      <c r="DRR39" s="704"/>
      <c r="DRS39" s="704"/>
      <c r="DRT39" s="704"/>
      <c r="DRU39" s="704"/>
      <c r="DRV39" s="704"/>
      <c r="DRW39" s="704"/>
      <c r="DRX39" s="704"/>
      <c r="DRY39" s="704"/>
      <c r="DRZ39" s="704"/>
      <c r="DSA39" s="704"/>
      <c r="DSB39" s="704"/>
      <c r="DSC39" s="704"/>
      <c r="DSD39" s="704"/>
      <c r="DSE39" s="704"/>
      <c r="DSF39" s="704"/>
      <c r="DSG39" s="704"/>
      <c r="DSH39" s="704"/>
      <c r="DSI39" s="704"/>
      <c r="DSJ39" s="704"/>
      <c r="DSK39" s="704"/>
      <c r="DSL39" s="704"/>
      <c r="DSM39" s="704"/>
      <c r="DSN39" s="704"/>
      <c r="DSO39" s="704"/>
      <c r="DSP39" s="704"/>
      <c r="DSQ39" s="704"/>
      <c r="DSR39" s="704"/>
      <c r="DSS39" s="704"/>
      <c r="DST39" s="704"/>
      <c r="DSU39" s="704"/>
      <c r="DSV39" s="704"/>
      <c r="DSW39" s="704"/>
      <c r="DSX39" s="704"/>
      <c r="DSY39" s="704"/>
      <c r="DSZ39" s="704"/>
      <c r="DTA39" s="704"/>
      <c r="DTB39" s="704"/>
      <c r="DTC39" s="704"/>
      <c r="DTD39" s="704"/>
      <c r="DTE39" s="704"/>
      <c r="DTF39" s="704"/>
      <c r="DTG39" s="704"/>
      <c r="DTH39" s="704"/>
      <c r="DTI39" s="704"/>
      <c r="DTJ39" s="704"/>
      <c r="DTK39" s="704"/>
      <c r="DTL39" s="704"/>
      <c r="DTM39" s="704"/>
      <c r="DTN39" s="704"/>
      <c r="DTO39" s="704"/>
      <c r="DTP39" s="704"/>
      <c r="DTQ39" s="704"/>
      <c r="DTR39" s="704"/>
      <c r="DTS39" s="704"/>
      <c r="DTT39" s="704"/>
      <c r="DTU39" s="704"/>
      <c r="DTV39" s="704"/>
      <c r="DTW39" s="704"/>
      <c r="DTX39" s="704"/>
      <c r="DTY39" s="704"/>
      <c r="DTZ39" s="704"/>
      <c r="DUA39" s="704"/>
      <c r="DUB39" s="704"/>
      <c r="DUC39" s="704"/>
      <c r="DUD39" s="704"/>
      <c r="DUE39" s="704"/>
      <c r="DUF39" s="704"/>
      <c r="DUG39" s="704"/>
      <c r="DUH39" s="704"/>
      <c r="DUI39" s="704"/>
      <c r="DUJ39" s="704"/>
      <c r="DUK39" s="704"/>
      <c r="DUL39" s="704"/>
      <c r="DUM39" s="704"/>
      <c r="DUN39" s="704"/>
      <c r="DUO39" s="704"/>
      <c r="DUP39" s="704"/>
      <c r="DUQ39" s="704"/>
      <c r="DUR39" s="704"/>
      <c r="DUS39" s="704"/>
      <c r="DUT39" s="704"/>
      <c r="DUU39" s="704"/>
      <c r="DUV39" s="704"/>
      <c r="DUW39" s="704"/>
      <c r="DUX39" s="704"/>
      <c r="DUY39" s="704"/>
      <c r="DUZ39" s="704"/>
      <c r="DVA39" s="704"/>
      <c r="DVB39" s="704"/>
      <c r="DVC39" s="704"/>
      <c r="DVD39" s="704"/>
      <c r="DVE39" s="704"/>
      <c r="DVF39" s="704"/>
      <c r="DVG39" s="704"/>
      <c r="DVH39" s="704"/>
      <c r="DVI39" s="704"/>
      <c r="DVJ39" s="704"/>
      <c r="DVK39" s="704"/>
      <c r="DVL39" s="704"/>
      <c r="DVM39" s="704"/>
      <c r="DVN39" s="704"/>
      <c r="DVO39" s="704"/>
      <c r="DVP39" s="704"/>
      <c r="DVQ39" s="704"/>
      <c r="DVR39" s="704"/>
      <c r="DVS39" s="704"/>
      <c r="DVT39" s="704"/>
      <c r="DVU39" s="704"/>
      <c r="DVV39" s="704"/>
      <c r="DVW39" s="704"/>
      <c r="DVX39" s="704"/>
      <c r="DVY39" s="704"/>
      <c r="DVZ39" s="704"/>
      <c r="DWA39" s="704"/>
      <c r="DWB39" s="704"/>
      <c r="DWC39" s="704"/>
      <c r="DWD39" s="704"/>
      <c r="DWE39" s="704"/>
      <c r="DWF39" s="704"/>
      <c r="DWG39" s="704"/>
      <c r="DWH39" s="704"/>
      <c r="DWI39" s="704"/>
      <c r="DWJ39" s="704"/>
      <c r="DWK39" s="704"/>
      <c r="DWL39" s="704"/>
      <c r="DWM39" s="704"/>
      <c r="DWN39" s="704"/>
      <c r="DWO39" s="704"/>
      <c r="DWP39" s="704"/>
      <c r="DWQ39" s="704"/>
      <c r="DWR39" s="704"/>
      <c r="DWS39" s="704"/>
      <c r="DWT39" s="704"/>
      <c r="DWU39" s="704"/>
      <c r="DWV39" s="704"/>
      <c r="DWW39" s="704"/>
      <c r="DWX39" s="704"/>
      <c r="DWY39" s="704"/>
      <c r="DWZ39" s="704"/>
      <c r="DXA39" s="704"/>
      <c r="DXB39" s="704"/>
      <c r="DXC39" s="704"/>
      <c r="DXD39" s="704"/>
      <c r="DXE39" s="704"/>
      <c r="DXF39" s="704"/>
      <c r="DXG39" s="704"/>
      <c r="DXH39" s="704"/>
      <c r="DXI39" s="704"/>
      <c r="DXJ39" s="704"/>
      <c r="DXK39" s="704"/>
      <c r="DXL39" s="704"/>
      <c r="DXM39" s="704"/>
      <c r="DXN39" s="704"/>
      <c r="DXO39" s="704"/>
      <c r="DXP39" s="704"/>
      <c r="DXQ39" s="704"/>
      <c r="DXR39" s="704"/>
      <c r="DXS39" s="704"/>
      <c r="DXT39" s="704"/>
      <c r="DXU39" s="704"/>
      <c r="DXV39" s="704"/>
      <c r="DXW39" s="704"/>
      <c r="DXX39" s="704"/>
      <c r="DXY39" s="704"/>
      <c r="DXZ39" s="704"/>
      <c r="DYA39" s="704"/>
      <c r="DYB39" s="704"/>
      <c r="DYC39" s="704"/>
      <c r="DYD39" s="704"/>
      <c r="DYE39" s="704"/>
      <c r="DYF39" s="704"/>
      <c r="DYG39" s="704"/>
      <c r="DYH39" s="704"/>
      <c r="DYI39" s="704"/>
      <c r="DYJ39" s="704"/>
      <c r="DYK39" s="704"/>
      <c r="DYL39" s="704"/>
      <c r="DYM39" s="704"/>
      <c r="DYN39" s="704"/>
      <c r="DYO39" s="704"/>
      <c r="DYP39" s="704"/>
      <c r="DYQ39" s="704"/>
      <c r="DYR39" s="704"/>
      <c r="DYS39" s="704"/>
      <c r="DYT39" s="704"/>
      <c r="DYU39" s="704"/>
      <c r="DYV39" s="704"/>
      <c r="DYW39" s="704"/>
      <c r="DYX39" s="704"/>
      <c r="DYY39" s="704"/>
      <c r="DYZ39" s="704"/>
      <c r="DZA39" s="704"/>
      <c r="DZB39" s="704"/>
      <c r="DZC39" s="704"/>
      <c r="DZD39" s="704"/>
      <c r="DZE39" s="704"/>
      <c r="DZF39" s="704"/>
      <c r="DZG39" s="704"/>
      <c r="DZH39" s="704"/>
      <c r="DZI39" s="704"/>
      <c r="DZJ39" s="704"/>
      <c r="DZK39" s="704"/>
      <c r="DZL39" s="704"/>
      <c r="DZM39" s="704"/>
      <c r="DZN39" s="704"/>
      <c r="DZO39" s="704"/>
      <c r="DZP39" s="704"/>
      <c r="DZQ39" s="704"/>
      <c r="DZR39" s="704"/>
      <c r="DZS39" s="704"/>
      <c r="DZT39" s="704"/>
      <c r="DZU39" s="704"/>
      <c r="DZV39" s="704"/>
      <c r="DZW39" s="704"/>
      <c r="DZX39" s="704"/>
      <c r="DZY39" s="704"/>
      <c r="DZZ39" s="704"/>
      <c r="EAA39" s="704"/>
      <c r="EAB39" s="704"/>
      <c r="EAC39" s="704"/>
      <c r="EAD39" s="704"/>
      <c r="EAE39" s="704"/>
      <c r="EAF39" s="704"/>
      <c r="EAG39" s="704"/>
      <c r="EAH39" s="704"/>
      <c r="EAI39" s="704"/>
      <c r="EAJ39" s="704"/>
      <c r="EAK39" s="704"/>
      <c r="EAL39" s="704"/>
      <c r="EAM39" s="704"/>
      <c r="EAN39" s="704"/>
      <c r="EAO39" s="704"/>
      <c r="EAP39" s="704"/>
      <c r="EAQ39" s="704"/>
      <c r="EAR39" s="704"/>
      <c r="EAS39" s="704"/>
      <c r="EAT39" s="704"/>
      <c r="EAU39" s="704"/>
      <c r="EAV39" s="704"/>
      <c r="EAW39" s="704"/>
      <c r="EAX39" s="704"/>
      <c r="EAY39" s="704"/>
      <c r="EAZ39" s="704"/>
      <c r="EBA39" s="704"/>
      <c r="EBB39" s="704"/>
      <c r="EBC39" s="704"/>
      <c r="EBD39" s="704"/>
      <c r="EBE39" s="704"/>
      <c r="EBF39" s="704"/>
      <c r="EBG39" s="704"/>
      <c r="EBH39" s="704"/>
      <c r="EBI39" s="704"/>
      <c r="EBJ39" s="704"/>
      <c r="EBK39" s="704"/>
      <c r="EBL39" s="704"/>
      <c r="EBM39" s="704"/>
      <c r="EBN39" s="704"/>
      <c r="EBO39" s="704"/>
      <c r="EBP39" s="704"/>
      <c r="EBQ39" s="704"/>
      <c r="EBR39" s="704"/>
      <c r="EBS39" s="704"/>
      <c r="EBT39" s="704"/>
      <c r="EBU39" s="704"/>
      <c r="EBV39" s="704"/>
      <c r="EBW39" s="704"/>
      <c r="EBX39" s="704"/>
      <c r="EBY39" s="704"/>
      <c r="EBZ39" s="704"/>
      <c r="ECA39" s="704"/>
      <c r="ECB39" s="704"/>
      <c r="ECC39" s="704"/>
      <c r="ECD39" s="704"/>
      <c r="ECE39" s="704"/>
      <c r="ECF39" s="704"/>
      <c r="ECG39" s="704"/>
      <c r="ECH39" s="704"/>
      <c r="ECI39" s="704"/>
      <c r="ECJ39" s="704"/>
      <c r="ECK39" s="704"/>
      <c r="ECL39" s="704"/>
      <c r="ECM39" s="704"/>
      <c r="ECN39" s="704"/>
      <c r="ECO39" s="704"/>
      <c r="ECP39" s="704"/>
      <c r="ECQ39" s="704"/>
      <c r="ECR39" s="704"/>
      <c r="ECS39" s="704"/>
      <c r="ECT39" s="704"/>
      <c r="ECU39" s="704"/>
      <c r="ECV39" s="704"/>
      <c r="ECW39" s="704"/>
      <c r="ECX39" s="704"/>
      <c r="ECY39" s="704"/>
      <c r="ECZ39" s="704"/>
      <c r="EDA39" s="704"/>
      <c r="EDB39" s="704"/>
      <c r="EDC39" s="704"/>
      <c r="EDD39" s="704"/>
      <c r="EDE39" s="704"/>
      <c r="EDF39" s="704"/>
      <c r="EDG39" s="704"/>
      <c r="EDH39" s="704"/>
      <c r="EDI39" s="704"/>
      <c r="EDJ39" s="704"/>
      <c r="EDK39" s="704"/>
      <c r="EDL39" s="704"/>
      <c r="EDM39" s="704"/>
      <c r="EDN39" s="704"/>
      <c r="EDO39" s="704"/>
      <c r="EDP39" s="704"/>
      <c r="EDQ39" s="704"/>
      <c r="EDR39" s="704"/>
      <c r="EDS39" s="704"/>
      <c r="EDT39" s="704"/>
      <c r="EDU39" s="704"/>
      <c r="EDV39" s="704"/>
      <c r="EDW39" s="704"/>
      <c r="EDX39" s="704"/>
      <c r="EDY39" s="704"/>
      <c r="EDZ39" s="704"/>
      <c r="EEA39" s="704"/>
      <c r="EEB39" s="704"/>
      <c r="EEC39" s="704"/>
      <c r="EED39" s="704"/>
      <c r="EEE39" s="704"/>
      <c r="EEF39" s="704"/>
      <c r="EEG39" s="704"/>
      <c r="EEH39" s="704"/>
      <c r="EEI39" s="704"/>
      <c r="EEJ39" s="704"/>
      <c r="EEK39" s="704"/>
      <c r="EEL39" s="704"/>
      <c r="EEM39" s="704"/>
      <c r="EEN39" s="704"/>
      <c r="EEO39" s="704"/>
      <c r="EEP39" s="704"/>
      <c r="EEQ39" s="704"/>
      <c r="EER39" s="704"/>
      <c r="EES39" s="704"/>
      <c r="EET39" s="704"/>
      <c r="EEU39" s="704"/>
      <c r="EEV39" s="704"/>
      <c r="EEW39" s="704"/>
      <c r="EEX39" s="704"/>
      <c r="EEY39" s="704"/>
      <c r="EEZ39" s="704"/>
      <c r="EFA39" s="704"/>
      <c r="EFB39" s="704"/>
      <c r="EFC39" s="704"/>
      <c r="EFD39" s="704"/>
      <c r="EFE39" s="704"/>
      <c r="EFF39" s="704"/>
      <c r="EFG39" s="704"/>
      <c r="EFH39" s="704"/>
      <c r="EFI39" s="704"/>
      <c r="EFJ39" s="704"/>
      <c r="EFK39" s="704"/>
      <c r="EFL39" s="704"/>
      <c r="EFM39" s="704"/>
      <c r="EFN39" s="704"/>
      <c r="EFO39" s="704"/>
      <c r="EFP39" s="704"/>
      <c r="EFQ39" s="704"/>
      <c r="EFR39" s="704"/>
      <c r="EFS39" s="704"/>
      <c r="EFT39" s="704"/>
      <c r="EFU39" s="704"/>
      <c r="EFV39" s="704"/>
      <c r="EFW39" s="704"/>
      <c r="EFX39" s="704"/>
      <c r="EFY39" s="704"/>
      <c r="EFZ39" s="704"/>
      <c r="EGA39" s="704"/>
      <c r="EGB39" s="704"/>
      <c r="EGC39" s="704"/>
      <c r="EGD39" s="704"/>
      <c r="EGE39" s="704"/>
      <c r="EGF39" s="704"/>
      <c r="EGG39" s="704"/>
      <c r="EGH39" s="704"/>
      <c r="EGI39" s="704"/>
      <c r="EGJ39" s="704"/>
      <c r="EGK39" s="704"/>
      <c r="EGL39" s="704"/>
      <c r="EGM39" s="704"/>
      <c r="EGN39" s="704"/>
      <c r="EGO39" s="704"/>
      <c r="EGP39" s="704"/>
      <c r="EGQ39" s="704"/>
      <c r="EGR39" s="704"/>
      <c r="EGS39" s="704"/>
      <c r="EGT39" s="704"/>
      <c r="EGU39" s="704"/>
      <c r="EGV39" s="704"/>
      <c r="EGW39" s="704"/>
      <c r="EGX39" s="704"/>
      <c r="EGY39" s="704"/>
      <c r="EGZ39" s="704"/>
      <c r="EHA39" s="704"/>
      <c r="EHB39" s="704"/>
      <c r="EHC39" s="704"/>
      <c r="EHD39" s="704"/>
      <c r="EHE39" s="704"/>
      <c r="EHF39" s="704"/>
      <c r="EHG39" s="704"/>
      <c r="EHH39" s="704"/>
      <c r="EHI39" s="704"/>
      <c r="EHJ39" s="704"/>
      <c r="EHK39" s="704"/>
      <c r="EHL39" s="704"/>
      <c r="EHM39" s="704"/>
      <c r="EHN39" s="704"/>
      <c r="EHO39" s="704"/>
      <c r="EHP39" s="704"/>
      <c r="EHQ39" s="704"/>
      <c r="EHR39" s="704"/>
      <c r="EHS39" s="704"/>
      <c r="EHT39" s="704"/>
      <c r="EHU39" s="704"/>
      <c r="EHV39" s="704"/>
      <c r="EHW39" s="704"/>
      <c r="EHX39" s="704"/>
      <c r="EHY39" s="704"/>
      <c r="EHZ39" s="704"/>
      <c r="EIA39" s="704"/>
      <c r="EIB39" s="704"/>
      <c r="EIC39" s="704"/>
      <c r="EID39" s="704"/>
      <c r="EIE39" s="704"/>
      <c r="EIF39" s="704"/>
      <c r="EIG39" s="704"/>
      <c r="EIH39" s="704"/>
      <c r="EII39" s="704"/>
      <c r="EIJ39" s="704"/>
      <c r="EIK39" s="704"/>
      <c r="EIL39" s="704"/>
      <c r="EIM39" s="704"/>
      <c r="EIN39" s="704"/>
      <c r="EIO39" s="704"/>
      <c r="EIP39" s="704"/>
      <c r="EIQ39" s="704"/>
      <c r="EIR39" s="704"/>
      <c r="EIS39" s="704"/>
      <c r="EIT39" s="704"/>
      <c r="EIU39" s="704"/>
      <c r="EIV39" s="704"/>
      <c r="EIW39" s="704"/>
      <c r="EIX39" s="704"/>
      <c r="EIY39" s="704"/>
      <c r="EIZ39" s="704"/>
      <c r="EJA39" s="704"/>
      <c r="EJB39" s="704"/>
      <c r="EJC39" s="704"/>
      <c r="EJD39" s="704"/>
      <c r="EJE39" s="704"/>
      <c r="EJF39" s="704"/>
      <c r="EJG39" s="704"/>
      <c r="EJH39" s="704"/>
      <c r="EJI39" s="704"/>
      <c r="EJJ39" s="704"/>
      <c r="EJK39" s="704"/>
      <c r="EJL39" s="704"/>
      <c r="EJM39" s="704"/>
      <c r="EJN39" s="704"/>
      <c r="EJO39" s="704"/>
      <c r="EJP39" s="704"/>
      <c r="EJQ39" s="704"/>
      <c r="EJR39" s="704"/>
      <c r="EJS39" s="704"/>
      <c r="EJT39" s="704"/>
      <c r="EJU39" s="704"/>
      <c r="EJV39" s="704"/>
      <c r="EJW39" s="704"/>
      <c r="EJX39" s="704"/>
      <c r="EJY39" s="704"/>
      <c r="EJZ39" s="704"/>
      <c r="EKA39" s="704"/>
      <c r="EKB39" s="704"/>
      <c r="EKC39" s="704"/>
      <c r="EKD39" s="704"/>
      <c r="EKE39" s="704"/>
      <c r="EKF39" s="704"/>
      <c r="EKG39" s="704"/>
      <c r="EKH39" s="704"/>
      <c r="EKI39" s="704"/>
      <c r="EKJ39" s="704"/>
      <c r="EKK39" s="704"/>
      <c r="EKL39" s="704"/>
      <c r="EKM39" s="704"/>
      <c r="EKN39" s="704"/>
      <c r="EKO39" s="704"/>
      <c r="EKP39" s="704"/>
      <c r="EKQ39" s="704"/>
      <c r="EKR39" s="704"/>
      <c r="EKS39" s="704"/>
      <c r="EKT39" s="704"/>
      <c r="EKU39" s="704"/>
      <c r="EKV39" s="704"/>
      <c r="EKW39" s="704"/>
      <c r="EKX39" s="704"/>
      <c r="EKY39" s="704"/>
      <c r="EKZ39" s="704"/>
      <c r="ELA39" s="704"/>
      <c r="ELB39" s="704"/>
      <c r="ELC39" s="704"/>
      <c r="ELD39" s="704"/>
      <c r="ELE39" s="704"/>
      <c r="ELF39" s="704"/>
      <c r="ELG39" s="704"/>
      <c r="ELH39" s="704"/>
      <c r="ELI39" s="704"/>
      <c r="ELJ39" s="704"/>
      <c r="ELK39" s="704"/>
      <c r="ELL39" s="704"/>
      <c r="ELM39" s="704"/>
      <c r="ELN39" s="704"/>
      <c r="ELO39" s="704"/>
      <c r="ELP39" s="704"/>
      <c r="ELQ39" s="704"/>
      <c r="ELR39" s="704"/>
      <c r="ELS39" s="704"/>
      <c r="ELT39" s="704"/>
      <c r="ELU39" s="704"/>
      <c r="ELV39" s="704"/>
      <c r="ELW39" s="704"/>
      <c r="ELX39" s="704"/>
      <c r="ELY39" s="704"/>
      <c r="ELZ39" s="704"/>
      <c r="EMA39" s="704"/>
      <c r="EMB39" s="704"/>
      <c r="EMC39" s="704"/>
      <c r="EMD39" s="704"/>
      <c r="EME39" s="704"/>
      <c r="EMF39" s="704"/>
      <c r="EMG39" s="704"/>
      <c r="EMH39" s="704"/>
      <c r="EMI39" s="704"/>
      <c r="EMJ39" s="704"/>
      <c r="EMK39" s="704"/>
      <c r="EML39" s="704"/>
      <c r="EMM39" s="704"/>
      <c r="EMN39" s="704"/>
      <c r="EMO39" s="704"/>
      <c r="EMP39" s="704"/>
      <c r="EMQ39" s="704"/>
      <c r="EMR39" s="704"/>
      <c r="EMS39" s="704"/>
      <c r="EMT39" s="704"/>
      <c r="EMU39" s="704"/>
      <c r="EMV39" s="704"/>
      <c r="EMW39" s="704"/>
      <c r="EMX39" s="704"/>
      <c r="EMY39" s="704"/>
      <c r="EMZ39" s="704"/>
      <c r="ENA39" s="704"/>
      <c r="ENB39" s="704"/>
      <c r="ENC39" s="704"/>
      <c r="END39" s="704"/>
      <c r="ENE39" s="704"/>
      <c r="ENF39" s="704"/>
      <c r="ENG39" s="704"/>
      <c r="ENH39" s="704"/>
      <c r="ENI39" s="704"/>
      <c r="ENJ39" s="704"/>
      <c r="ENK39" s="704"/>
      <c r="ENL39" s="704"/>
      <c r="ENM39" s="704"/>
      <c r="ENN39" s="704"/>
      <c r="ENO39" s="704"/>
      <c r="ENP39" s="704"/>
      <c r="ENQ39" s="704"/>
      <c r="ENR39" s="704"/>
      <c r="ENS39" s="704"/>
      <c r="ENT39" s="704"/>
      <c r="ENU39" s="704"/>
      <c r="ENV39" s="704"/>
      <c r="ENW39" s="704"/>
      <c r="ENX39" s="704"/>
      <c r="ENY39" s="704"/>
      <c r="ENZ39" s="704"/>
      <c r="EOA39" s="704"/>
      <c r="EOB39" s="704"/>
      <c r="EOC39" s="704"/>
      <c r="EOD39" s="704"/>
      <c r="EOE39" s="704"/>
      <c r="EOF39" s="704"/>
      <c r="EOG39" s="704"/>
      <c r="EOH39" s="704"/>
      <c r="EOI39" s="704"/>
      <c r="EOJ39" s="704"/>
      <c r="EOK39" s="704"/>
      <c r="EOL39" s="704"/>
      <c r="EOM39" s="704"/>
      <c r="EON39" s="704"/>
      <c r="EOO39" s="704"/>
      <c r="EOP39" s="704"/>
      <c r="EOQ39" s="704"/>
      <c r="EOR39" s="704"/>
      <c r="EOS39" s="704"/>
      <c r="EOT39" s="704"/>
      <c r="EOU39" s="704"/>
      <c r="EOV39" s="704"/>
      <c r="EOW39" s="704"/>
      <c r="EOX39" s="704"/>
      <c r="EOY39" s="704"/>
      <c r="EOZ39" s="704"/>
      <c r="EPA39" s="704"/>
      <c r="EPB39" s="704"/>
      <c r="EPC39" s="704"/>
      <c r="EPD39" s="704"/>
      <c r="EPE39" s="704"/>
      <c r="EPF39" s="704"/>
      <c r="EPG39" s="704"/>
      <c r="EPH39" s="704"/>
      <c r="EPI39" s="704"/>
      <c r="EPJ39" s="704"/>
      <c r="EPK39" s="704"/>
      <c r="EPL39" s="704"/>
      <c r="EPM39" s="704"/>
      <c r="EPN39" s="704"/>
      <c r="EPO39" s="704"/>
      <c r="EPP39" s="704"/>
      <c r="EPQ39" s="704"/>
      <c r="EPR39" s="704"/>
      <c r="EPS39" s="704"/>
      <c r="EPT39" s="704"/>
      <c r="EPU39" s="704"/>
      <c r="EPV39" s="704"/>
      <c r="EPW39" s="704"/>
      <c r="EPX39" s="704"/>
      <c r="EPY39" s="704"/>
      <c r="EPZ39" s="704"/>
      <c r="EQA39" s="704"/>
      <c r="EQB39" s="704"/>
      <c r="EQC39" s="704"/>
      <c r="EQD39" s="704"/>
      <c r="EQE39" s="704"/>
      <c r="EQF39" s="704"/>
      <c r="EQG39" s="704"/>
      <c r="EQH39" s="704"/>
      <c r="EQI39" s="704"/>
      <c r="EQJ39" s="704"/>
      <c r="EQK39" s="704"/>
      <c r="EQL39" s="704"/>
      <c r="EQM39" s="704"/>
      <c r="EQN39" s="704"/>
      <c r="EQO39" s="704"/>
      <c r="EQP39" s="704"/>
      <c r="EQQ39" s="704"/>
      <c r="EQR39" s="704"/>
      <c r="EQS39" s="704"/>
      <c r="EQT39" s="704"/>
      <c r="EQU39" s="704"/>
      <c r="EQV39" s="704"/>
      <c r="EQW39" s="704"/>
      <c r="EQX39" s="704"/>
      <c r="EQY39" s="704"/>
      <c r="EQZ39" s="704"/>
      <c r="ERA39" s="704"/>
      <c r="ERB39" s="704"/>
      <c r="ERC39" s="704"/>
      <c r="ERD39" s="704"/>
      <c r="ERE39" s="704"/>
      <c r="ERF39" s="704"/>
      <c r="ERG39" s="704"/>
      <c r="ERH39" s="704"/>
      <c r="ERI39" s="704"/>
      <c r="ERJ39" s="704"/>
      <c r="ERK39" s="704"/>
      <c r="ERL39" s="704"/>
      <c r="ERM39" s="704"/>
      <c r="ERN39" s="704"/>
      <c r="ERO39" s="704"/>
      <c r="ERP39" s="704"/>
      <c r="ERQ39" s="704"/>
      <c r="ERR39" s="704"/>
      <c r="ERS39" s="704"/>
      <c r="ERT39" s="704"/>
      <c r="ERU39" s="704"/>
      <c r="ERV39" s="704"/>
      <c r="ERW39" s="704"/>
      <c r="ERX39" s="704"/>
      <c r="ERY39" s="704"/>
      <c r="ERZ39" s="704"/>
      <c r="ESA39" s="704"/>
      <c r="ESB39" s="704"/>
      <c r="ESC39" s="704"/>
      <c r="ESD39" s="704"/>
      <c r="ESE39" s="704"/>
      <c r="ESF39" s="704"/>
      <c r="ESG39" s="704"/>
      <c r="ESH39" s="704"/>
      <c r="ESI39" s="704"/>
      <c r="ESJ39" s="704"/>
      <c r="ESK39" s="704"/>
      <c r="ESL39" s="704"/>
      <c r="ESM39" s="704"/>
      <c r="ESN39" s="704"/>
      <c r="ESO39" s="704"/>
      <c r="ESP39" s="704"/>
      <c r="ESQ39" s="704"/>
      <c r="ESR39" s="704"/>
      <c r="ESS39" s="704"/>
      <c r="EST39" s="704"/>
      <c r="ESU39" s="704"/>
      <c r="ESV39" s="704"/>
      <c r="ESW39" s="704"/>
      <c r="ESX39" s="704"/>
      <c r="ESY39" s="704"/>
      <c r="ESZ39" s="704"/>
      <c r="ETA39" s="704"/>
      <c r="ETB39" s="704"/>
      <c r="ETC39" s="704"/>
      <c r="ETD39" s="704"/>
      <c r="ETE39" s="704"/>
      <c r="ETF39" s="704"/>
      <c r="ETG39" s="704"/>
      <c r="ETH39" s="704"/>
      <c r="ETI39" s="704"/>
      <c r="ETJ39" s="704"/>
      <c r="ETK39" s="704"/>
      <c r="ETL39" s="704"/>
      <c r="ETM39" s="704"/>
      <c r="ETN39" s="704"/>
      <c r="ETO39" s="704"/>
      <c r="ETP39" s="704"/>
      <c r="ETQ39" s="704"/>
      <c r="ETR39" s="704"/>
      <c r="ETS39" s="704"/>
      <c r="ETT39" s="704"/>
      <c r="ETU39" s="704"/>
      <c r="ETV39" s="704"/>
      <c r="ETW39" s="704"/>
      <c r="ETX39" s="704"/>
      <c r="ETY39" s="704"/>
      <c r="ETZ39" s="704"/>
      <c r="EUA39" s="704"/>
      <c r="EUB39" s="704"/>
      <c r="EUC39" s="704"/>
      <c r="EUD39" s="704"/>
      <c r="EUE39" s="704"/>
      <c r="EUF39" s="704"/>
      <c r="EUG39" s="704"/>
      <c r="EUH39" s="704"/>
      <c r="EUI39" s="704"/>
      <c r="EUJ39" s="704"/>
      <c r="EUK39" s="704"/>
      <c r="EUL39" s="704"/>
      <c r="EUM39" s="704"/>
      <c r="EUN39" s="704"/>
      <c r="EUO39" s="704"/>
      <c r="EUP39" s="704"/>
      <c r="EUQ39" s="704"/>
      <c r="EUR39" s="704"/>
      <c r="EUS39" s="704"/>
      <c r="EUT39" s="704"/>
      <c r="EUU39" s="704"/>
      <c r="EUV39" s="704"/>
      <c r="EUW39" s="704"/>
      <c r="EUX39" s="704"/>
      <c r="EUY39" s="704"/>
      <c r="EUZ39" s="704"/>
      <c r="EVA39" s="704"/>
      <c r="EVB39" s="704"/>
      <c r="EVC39" s="704"/>
      <c r="EVD39" s="704"/>
      <c r="EVE39" s="704"/>
      <c r="EVF39" s="704"/>
      <c r="EVG39" s="704"/>
      <c r="EVH39" s="704"/>
      <c r="EVI39" s="704"/>
      <c r="EVJ39" s="704"/>
      <c r="EVK39" s="704"/>
      <c r="EVL39" s="704"/>
      <c r="EVM39" s="704"/>
      <c r="EVN39" s="704"/>
      <c r="EVO39" s="704"/>
      <c r="EVP39" s="704"/>
      <c r="EVQ39" s="704"/>
      <c r="EVR39" s="704"/>
      <c r="EVS39" s="704"/>
      <c r="EVT39" s="704"/>
      <c r="EVU39" s="704"/>
      <c r="EVV39" s="704"/>
      <c r="EVW39" s="704"/>
      <c r="EVX39" s="704"/>
      <c r="EVY39" s="704"/>
      <c r="EVZ39" s="704"/>
      <c r="EWA39" s="704"/>
      <c r="EWB39" s="704"/>
      <c r="EWC39" s="704"/>
      <c r="EWD39" s="704"/>
      <c r="EWE39" s="704"/>
      <c r="EWF39" s="704"/>
      <c r="EWG39" s="704"/>
      <c r="EWH39" s="704"/>
      <c r="EWI39" s="704"/>
      <c r="EWJ39" s="704"/>
      <c r="EWK39" s="704"/>
      <c r="EWL39" s="704"/>
      <c r="EWM39" s="704"/>
      <c r="EWN39" s="704"/>
      <c r="EWO39" s="704"/>
      <c r="EWP39" s="704"/>
      <c r="EWQ39" s="704"/>
      <c r="EWR39" s="704"/>
      <c r="EWS39" s="704"/>
      <c r="EWT39" s="704"/>
      <c r="EWU39" s="704"/>
      <c r="EWV39" s="704"/>
      <c r="EWW39" s="704"/>
      <c r="EWX39" s="704"/>
      <c r="EWY39" s="704"/>
      <c r="EWZ39" s="704"/>
      <c r="EXA39" s="704"/>
      <c r="EXB39" s="704"/>
      <c r="EXC39" s="704"/>
      <c r="EXD39" s="704"/>
      <c r="EXE39" s="704"/>
      <c r="EXF39" s="704"/>
      <c r="EXG39" s="704"/>
      <c r="EXH39" s="704"/>
      <c r="EXI39" s="704"/>
      <c r="EXJ39" s="704"/>
      <c r="EXK39" s="704"/>
      <c r="EXL39" s="704"/>
      <c r="EXM39" s="704"/>
      <c r="EXN39" s="704"/>
      <c r="EXO39" s="704"/>
      <c r="EXP39" s="704"/>
      <c r="EXQ39" s="704"/>
      <c r="EXR39" s="704"/>
      <c r="EXS39" s="704"/>
      <c r="EXT39" s="704"/>
      <c r="EXU39" s="704"/>
      <c r="EXV39" s="704"/>
      <c r="EXW39" s="704"/>
      <c r="EXX39" s="704"/>
      <c r="EXY39" s="704"/>
      <c r="EXZ39" s="704"/>
      <c r="EYA39" s="704"/>
      <c r="EYB39" s="704"/>
      <c r="EYC39" s="704"/>
      <c r="EYD39" s="704"/>
      <c r="EYE39" s="704"/>
      <c r="EYF39" s="704"/>
      <c r="EYG39" s="704"/>
      <c r="EYH39" s="704"/>
      <c r="EYI39" s="704"/>
      <c r="EYJ39" s="704"/>
      <c r="EYK39" s="704"/>
      <c r="EYL39" s="704"/>
      <c r="EYM39" s="704"/>
      <c r="EYN39" s="704"/>
      <c r="EYO39" s="704"/>
      <c r="EYP39" s="704"/>
      <c r="EYQ39" s="704"/>
      <c r="EYR39" s="704"/>
      <c r="EYS39" s="704"/>
      <c r="EYT39" s="704"/>
      <c r="EYU39" s="704"/>
      <c r="EYV39" s="704"/>
      <c r="EYW39" s="704"/>
      <c r="EYX39" s="704"/>
      <c r="EYY39" s="704"/>
      <c r="EYZ39" s="704"/>
      <c r="EZA39" s="704"/>
      <c r="EZB39" s="704"/>
      <c r="EZC39" s="704"/>
      <c r="EZD39" s="704"/>
      <c r="EZE39" s="704"/>
      <c r="EZF39" s="704"/>
      <c r="EZG39" s="704"/>
      <c r="EZH39" s="704"/>
      <c r="EZI39" s="704"/>
      <c r="EZJ39" s="704"/>
      <c r="EZK39" s="704"/>
      <c r="EZL39" s="704"/>
      <c r="EZM39" s="704"/>
      <c r="EZN39" s="704"/>
      <c r="EZO39" s="704"/>
      <c r="EZP39" s="704"/>
      <c r="EZQ39" s="704"/>
      <c r="EZR39" s="704"/>
      <c r="EZS39" s="704"/>
      <c r="EZT39" s="704"/>
      <c r="EZU39" s="704"/>
      <c r="EZV39" s="704"/>
      <c r="EZW39" s="704"/>
      <c r="EZX39" s="704"/>
      <c r="EZY39" s="704"/>
      <c r="EZZ39" s="704"/>
      <c r="FAA39" s="704"/>
      <c r="FAB39" s="704"/>
      <c r="FAC39" s="704"/>
      <c r="FAD39" s="704"/>
      <c r="FAE39" s="704"/>
      <c r="FAF39" s="704"/>
      <c r="FAG39" s="704"/>
      <c r="FAH39" s="704"/>
      <c r="FAI39" s="704"/>
      <c r="FAJ39" s="704"/>
      <c r="FAK39" s="704"/>
      <c r="FAL39" s="704"/>
      <c r="FAM39" s="704"/>
      <c r="FAN39" s="704"/>
      <c r="FAO39" s="704"/>
      <c r="FAP39" s="704"/>
      <c r="FAQ39" s="704"/>
      <c r="FAR39" s="704"/>
      <c r="FAS39" s="704"/>
      <c r="FAT39" s="704"/>
      <c r="FAU39" s="704"/>
      <c r="FAV39" s="704"/>
      <c r="FAW39" s="704"/>
      <c r="FAX39" s="704"/>
      <c r="FAY39" s="704"/>
      <c r="FAZ39" s="704"/>
      <c r="FBA39" s="704"/>
      <c r="FBB39" s="704"/>
      <c r="FBC39" s="704"/>
      <c r="FBD39" s="704"/>
      <c r="FBE39" s="704"/>
      <c r="FBF39" s="704"/>
      <c r="FBG39" s="704"/>
      <c r="FBH39" s="704"/>
      <c r="FBI39" s="704"/>
      <c r="FBJ39" s="704"/>
      <c r="FBK39" s="704"/>
      <c r="FBL39" s="704"/>
      <c r="FBM39" s="704"/>
      <c r="FBN39" s="704"/>
      <c r="FBO39" s="704"/>
      <c r="FBP39" s="704"/>
      <c r="FBQ39" s="704"/>
      <c r="FBR39" s="704"/>
      <c r="FBS39" s="704"/>
      <c r="FBT39" s="704"/>
      <c r="FBU39" s="704"/>
      <c r="FBV39" s="704"/>
      <c r="FBW39" s="704"/>
      <c r="FBX39" s="704"/>
      <c r="FBY39" s="704"/>
      <c r="FBZ39" s="704"/>
      <c r="FCA39" s="704"/>
      <c r="FCB39" s="704"/>
      <c r="FCC39" s="704"/>
      <c r="FCD39" s="704"/>
      <c r="FCE39" s="704"/>
      <c r="FCF39" s="704"/>
      <c r="FCG39" s="704"/>
      <c r="FCH39" s="704"/>
      <c r="FCI39" s="704"/>
      <c r="FCJ39" s="704"/>
      <c r="FCK39" s="704"/>
      <c r="FCL39" s="704"/>
      <c r="FCM39" s="704"/>
      <c r="FCN39" s="704"/>
      <c r="FCO39" s="704"/>
      <c r="FCP39" s="704"/>
      <c r="FCQ39" s="704"/>
      <c r="FCR39" s="704"/>
      <c r="FCS39" s="704"/>
      <c r="FCT39" s="704"/>
      <c r="FCU39" s="704"/>
      <c r="FCV39" s="704"/>
      <c r="FCW39" s="704"/>
      <c r="FCX39" s="704"/>
      <c r="FCY39" s="704"/>
      <c r="FCZ39" s="704"/>
      <c r="FDA39" s="704"/>
      <c r="FDB39" s="704"/>
      <c r="FDC39" s="704"/>
      <c r="FDD39" s="704"/>
      <c r="FDE39" s="704"/>
      <c r="FDF39" s="704"/>
      <c r="FDG39" s="704"/>
      <c r="FDH39" s="704"/>
      <c r="FDI39" s="704"/>
      <c r="FDJ39" s="704"/>
      <c r="FDK39" s="704"/>
      <c r="FDL39" s="704"/>
      <c r="FDM39" s="704"/>
      <c r="FDN39" s="704"/>
      <c r="FDO39" s="704"/>
      <c r="FDP39" s="704"/>
      <c r="FDQ39" s="704"/>
      <c r="FDR39" s="704"/>
      <c r="FDS39" s="704"/>
      <c r="FDT39" s="704"/>
      <c r="FDU39" s="704"/>
      <c r="FDV39" s="704"/>
      <c r="FDW39" s="704"/>
      <c r="FDX39" s="704"/>
      <c r="FDY39" s="704"/>
      <c r="FDZ39" s="704"/>
      <c r="FEA39" s="704"/>
      <c r="FEB39" s="704"/>
      <c r="FEC39" s="704"/>
      <c r="FED39" s="704"/>
      <c r="FEE39" s="704"/>
      <c r="FEF39" s="704"/>
      <c r="FEG39" s="704"/>
      <c r="FEH39" s="704"/>
      <c r="FEI39" s="704"/>
      <c r="FEJ39" s="704"/>
      <c r="FEK39" s="704"/>
      <c r="FEL39" s="704"/>
      <c r="FEM39" s="704"/>
      <c r="FEN39" s="704"/>
      <c r="FEO39" s="704"/>
      <c r="FEP39" s="704"/>
      <c r="FEQ39" s="704"/>
      <c r="FER39" s="704"/>
      <c r="FES39" s="704"/>
      <c r="FET39" s="704"/>
      <c r="FEU39" s="704"/>
      <c r="FEV39" s="704"/>
      <c r="FEW39" s="704"/>
      <c r="FEX39" s="704"/>
      <c r="FEY39" s="704"/>
      <c r="FEZ39" s="704"/>
      <c r="FFA39" s="704"/>
      <c r="FFB39" s="704"/>
      <c r="FFC39" s="704"/>
      <c r="FFD39" s="704"/>
      <c r="FFE39" s="704"/>
      <c r="FFF39" s="704"/>
      <c r="FFG39" s="704"/>
      <c r="FFH39" s="704"/>
      <c r="FFI39" s="704"/>
      <c r="FFJ39" s="704"/>
      <c r="FFK39" s="704"/>
      <c r="FFL39" s="704"/>
      <c r="FFM39" s="704"/>
      <c r="FFN39" s="704"/>
      <c r="FFO39" s="704"/>
      <c r="FFP39" s="704"/>
      <c r="FFQ39" s="704"/>
      <c r="FFR39" s="704"/>
      <c r="FFS39" s="704"/>
      <c r="FFT39" s="704"/>
      <c r="FFU39" s="704"/>
      <c r="FFV39" s="704"/>
      <c r="FFW39" s="704"/>
      <c r="FFX39" s="704"/>
      <c r="FFY39" s="704"/>
      <c r="FFZ39" s="704"/>
      <c r="FGA39" s="704"/>
      <c r="FGB39" s="704"/>
      <c r="FGC39" s="704"/>
      <c r="FGD39" s="704"/>
      <c r="FGE39" s="704"/>
      <c r="FGF39" s="704"/>
      <c r="FGG39" s="704"/>
      <c r="FGH39" s="704"/>
      <c r="FGI39" s="704"/>
      <c r="FGJ39" s="704"/>
      <c r="FGK39" s="704"/>
      <c r="FGL39" s="704"/>
      <c r="FGM39" s="704"/>
      <c r="FGN39" s="704"/>
      <c r="FGO39" s="704"/>
      <c r="FGP39" s="704"/>
      <c r="FGQ39" s="704"/>
      <c r="FGR39" s="704"/>
      <c r="FGS39" s="704"/>
      <c r="FGT39" s="704"/>
      <c r="FGU39" s="704"/>
      <c r="FGV39" s="704"/>
      <c r="FGW39" s="704"/>
      <c r="FGX39" s="704"/>
      <c r="FGY39" s="704"/>
      <c r="FGZ39" s="704"/>
      <c r="FHA39" s="704"/>
      <c r="FHB39" s="704"/>
      <c r="FHC39" s="704"/>
      <c r="FHD39" s="704"/>
      <c r="FHE39" s="704"/>
      <c r="FHF39" s="704"/>
      <c r="FHG39" s="704"/>
      <c r="FHH39" s="704"/>
      <c r="FHI39" s="704"/>
      <c r="FHJ39" s="704"/>
      <c r="FHK39" s="704"/>
      <c r="FHL39" s="704"/>
      <c r="FHM39" s="704"/>
      <c r="FHN39" s="704"/>
      <c r="FHO39" s="704"/>
      <c r="FHP39" s="704"/>
      <c r="FHQ39" s="704"/>
      <c r="FHR39" s="704"/>
      <c r="FHS39" s="704"/>
      <c r="FHT39" s="704"/>
      <c r="FHU39" s="704"/>
      <c r="FHV39" s="704"/>
      <c r="FHW39" s="704"/>
      <c r="FHX39" s="704"/>
      <c r="FHY39" s="704"/>
      <c r="FHZ39" s="704"/>
      <c r="FIA39" s="704"/>
      <c r="FIB39" s="704"/>
      <c r="FIC39" s="704"/>
      <c r="FID39" s="704"/>
      <c r="FIE39" s="704"/>
      <c r="FIF39" s="704"/>
      <c r="FIG39" s="704"/>
      <c r="FIH39" s="704"/>
      <c r="FII39" s="704"/>
      <c r="FIJ39" s="704"/>
      <c r="FIK39" s="704"/>
      <c r="FIL39" s="704"/>
      <c r="FIM39" s="704"/>
      <c r="FIN39" s="704"/>
      <c r="FIO39" s="704"/>
      <c r="FIP39" s="704"/>
      <c r="FIQ39" s="704"/>
      <c r="FIR39" s="704"/>
      <c r="FIS39" s="704"/>
      <c r="FIT39" s="704"/>
      <c r="FIU39" s="704"/>
      <c r="FIV39" s="704"/>
      <c r="FIW39" s="704"/>
      <c r="FIX39" s="704"/>
      <c r="FIY39" s="704"/>
      <c r="FIZ39" s="704"/>
      <c r="FJA39" s="704"/>
      <c r="FJB39" s="704"/>
      <c r="FJC39" s="704"/>
      <c r="FJD39" s="704"/>
      <c r="FJE39" s="704"/>
      <c r="FJF39" s="704"/>
      <c r="FJG39" s="704"/>
      <c r="FJH39" s="704"/>
      <c r="FJI39" s="704"/>
      <c r="FJJ39" s="704"/>
      <c r="FJK39" s="704"/>
      <c r="FJL39" s="704"/>
      <c r="FJM39" s="704"/>
      <c r="FJN39" s="704"/>
      <c r="FJO39" s="704"/>
      <c r="FJP39" s="704"/>
      <c r="FJQ39" s="704"/>
      <c r="FJR39" s="704"/>
      <c r="FJS39" s="704"/>
      <c r="FJT39" s="704"/>
      <c r="FJU39" s="704"/>
      <c r="FJV39" s="704"/>
      <c r="FJW39" s="704"/>
      <c r="FJX39" s="704"/>
      <c r="FJY39" s="704"/>
      <c r="FJZ39" s="704"/>
      <c r="FKA39" s="704"/>
      <c r="FKB39" s="704"/>
      <c r="FKC39" s="704"/>
      <c r="FKD39" s="704"/>
      <c r="FKE39" s="704"/>
      <c r="FKF39" s="704"/>
      <c r="FKG39" s="704"/>
      <c r="FKH39" s="704"/>
      <c r="FKI39" s="704"/>
      <c r="FKJ39" s="704"/>
      <c r="FKK39" s="704"/>
      <c r="FKL39" s="704"/>
      <c r="FKM39" s="704"/>
      <c r="FKN39" s="704"/>
      <c r="FKO39" s="704"/>
      <c r="FKP39" s="704"/>
      <c r="FKQ39" s="704"/>
      <c r="FKR39" s="704"/>
      <c r="FKS39" s="704"/>
      <c r="FKT39" s="704"/>
      <c r="FKU39" s="704"/>
      <c r="FKV39" s="704"/>
      <c r="FKW39" s="704"/>
      <c r="FKX39" s="704"/>
      <c r="FKY39" s="704"/>
      <c r="FKZ39" s="704"/>
      <c r="FLA39" s="704"/>
      <c r="FLB39" s="704"/>
      <c r="FLC39" s="704"/>
      <c r="FLD39" s="704"/>
      <c r="FLE39" s="704"/>
      <c r="FLF39" s="704"/>
      <c r="FLG39" s="704"/>
      <c r="FLH39" s="704"/>
      <c r="FLI39" s="704"/>
      <c r="FLJ39" s="704"/>
      <c r="FLK39" s="704"/>
      <c r="FLL39" s="704"/>
      <c r="FLM39" s="704"/>
      <c r="FLN39" s="704"/>
      <c r="FLO39" s="704"/>
      <c r="FLP39" s="704"/>
      <c r="FLQ39" s="704"/>
      <c r="FLR39" s="704"/>
      <c r="FLS39" s="704"/>
      <c r="FLT39" s="704"/>
      <c r="FLU39" s="704"/>
      <c r="FLV39" s="704"/>
      <c r="FLW39" s="704"/>
      <c r="FLX39" s="704"/>
      <c r="FLY39" s="704"/>
      <c r="FLZ39" s="704"/>
      <c r="FMA39" s="704"/>
      <c r="FMB39" s="704"/>
      <c r="FMC39" s="704"/>
      <c r="FMD39" s="704"/>
      <c r="FME39" s="704"/>
      <c r="FMF39" s="704"/>
      <c r="FMG39" s="704"/>
      <c r="FMH39" s="704"/>
      <c r="FMI39" s="704"/>
      <c r="FMJ39" s="704"/>
      <c r="FMK39" s="704"/>
      <c r="FML39" s="704"/>
      <c r="FMM39" s="704"/>
      <c r="FMN39" s="704"/>
      <c r="FMO39" s="704"/>
      <c r="FMP39" s="704"/>
      <c r="FMQ39" s="704"/>
      <c r="FMR39" s="704"/>
      <c r="FMS39" s="704"/>
      <c r="FMT39" s="704"/>
      <c r="FMU39" s="704"/>
      <c r="FMV39" s="704"/>
      <c r="FMW39" s="704"/>
      <c r="FMX39" s="704"/>
      <c r="FMY39" s="704"/>
      <c r="FMZ39" s="704"/>
      <c r="FNA39" s="704"/>
      <c r="FNB39" s="704"/>
      <c r="FNC39" s="704"/>
      <c r="FND39" s="704"/>
      <c r="FNE39" s="704"/>
      <c r="FNF39" s="704"/>
      <c r="FNG39" s="704"/>
      <c r="FNH39" s="704"/>
      <c r="FNI39" s="704"/>
      <c r="FNJ39" s="704"/>
      <c r="FNK39" s="704"/>
      <c r="FNL39" s="704"/>
      <c r="FNM39" s="704"/>
      <c r="FNN39" s="704"/>
      <c r="FNO39" s="704"/>
      <c r="FNP39" s="704"/>
      <c r="FNQ39" s="704"/>
      <c r="FNR39" s="704"/>
      <c r="FNS39" s="704"/>
      <c r="FNT39" s="704"/>
      <c r="FNU39" s="704"/>
      <c r="FNV39" s="704"/>
      <c r="FNW39" s="704"/>
      <c r="FNX39" s="704"/>
      <c r="FNY39" s="704"/>
      <c r="FNZ39" s="704"/>
      <c r="FOA39" s="704"/>
      <c r="FOB39" s="704"/>
      <c r="FOC39" s="704"/>
      <c r="FOD39" s="704"/>
      <c r="FOE39" s="704"/>
      <c r="FOF39" s="704"/>
      <c r="FOG39" s="704"/>
      <c r="FOH39" s="704"/>
      <c r="FOI39" s="704"/>
      <c r="FOJ39" s="704"/>
      <c r="FOK39" s="704"/>
      <c r="FOL39" s="704"/>
      <c r="FOM39" s="704"/>
      <c r="FON39" s="704"/>
      <c r="FOO39" s="704"/>
      <c r="FOP39" s="704"/>
      <c r="FOQ39" s="704"/>
      <c r="FOR39" s="704"/>
      <c r="FOS39" s="704"/>
      <c r="FOT39" s="704"/>
      <c r="FOU39" s="704"/>
      <c r="FOV39" s="704"/>
      <c r="FOW39" s="704"/>
      <c r="FOX39" s="704"/>
      <c r="FOY39" s="704"/>
      <c r="FOZ39" s="704"/>
      <c r="FPA39" s="704"/>
      <c r="FPB39" s="704"/>
      <c r="FPC39" s="704"/>
      <c r="FPD39" s="704"/>
      <c r="FPE39" s="704"/>
      <c r="FPF39" s="704"/>
      <c r="FPG39" s="704"/>
      <c r="FPH39" s="704"/>
      <c r="FPI39" s="704"/>
      <c r="FPJ39" s="704"/>
      <c r="FPK39" s="704"/>
      <c r="FPL39" s="704"/>
      <c r="FPM39" s="704"/>
      <c r="FPN39" s="704"/>
      <c r="FPO39" s="704"/>
      <c r="FPP39" s="704"/>
      <c r="FPQ39" s="704"/>
      <c r="FPR39" s="704"/>
      <c r="FPS39" s="704"/>
      <c r="FPT39" s="704"/>
      <c r="FPU39" s="704"/>
      <c r="FPV39" s="704"/>
      <c r="FPW39" s="704"/>
      <c r="FPX39" s="704"/>
      <c r="FPY39" s="704"/>
      <c r="FPZ39" s="704"/>
      <c r="FQA39" s="704"/>
      <c r="FQB39" s="704"/>
      <c r="FQC39" s="704"/>
      <c r="FQD39" s="704"/>
      <c r="FQE39" s="704"/>
      <c r="FQF39" s="704"/>
      <c r="FQG39" s="704"/>
      <c r="FQH39" s="704"/>
      <c r="FQI39" s="704"/>
      <c r="FQJ39" s="704"/>
      <c r="FQK39" s="704"/>
      <c r="FQL39" s="704"/>
      <c r="FQM39" s="704"/>
      <c r="FQN39" s="704"/>
      <c r="FQO39" s="704"/>
      <c r="FQP39" s="704"/>
      <c r="FQQ39" s="704"/>
      <c r="FQR39" s="704"/>
      <c r="FQS39" s="704"/>
      <c r="FQT39" s="704"/>
      <c r="FQU39" s="704"/>
      <c r="FQV39" s="704"/>
      <c r="FQW39" s="704"/>
      <c r="FQX39" s="704"/>
      <c r="FQY39" s="704"/>
      <c r="FQZ39" s="704"/>
      <c r="FRA39" s="704"/>
      <c r="FRB39" s="704"/>
      <c r="FRC39" s="704"/>
      <c r="FRD39" s="704"/>
      <c r="FRE39" s="704"/>
      <c r="FRF39" s="704"/>
      <c r="FRG39" s="704"/>
      <c r="FRH39" s="704"/>
      <c r="FRI39" s="704"/>
      <c r="FRJ39" s="704"/>
      <c r="FRK39" s="704"/>
      <c r="FRL39" s="704"/>
      <c r="FRM39" s="704"/>
      <c r="FRN39" s="704"/>
      <c r="FRO39" s="704"/>
      <c r="FRP39" s="704"/>
      <c r="FRQ39" s="704"/>
      <c r="FRR39" s="704"/>
      <c r="FRS39" s="704"/>
      <c r="FRT39" s="704"/>
      <c r="FRU39" s="704"/>
      <c r="FRV39" s="704"/>
      <c r="FRW39" s="704"/>
      <c r="FRX39" s="704"/>
      <c r="FRY39" s="704"/>
      <c r="FRZ39" s="704"/>
      <c r="FSA39" s="704"/>
      <c r="FSB39" s="704"/>
      <c r="FSC39" s="704"/>
      <c r="FSD39" s="704"/>
      <c r="FSE39" s="704"/>
      <c r="FSF39" s="704"/>
      <c r="FSG39" s="704"/>
      <c r="FSH39" s="704"/>
      <c r="FSI39" s="704"/>
      <c r="FSJ39" s="704"/>
      <c r="FSK39" s="704"/>
      <c r="FSL39" s="704"/>
      <c r="FSM39" s="704"/>
      <c r="FSN39" s="704"/>
      <c r="FSO39" s="704"/>
      <c r="FSP39" s="704"/>
      <c r="FSQ39" s="704"/>
      <c r="FSR39" s="704"/>
      <c r="FSS39" s="704"/>
      <c r="FST39" s="704"/>
      <c r="FSU39" s="704"/>
      <c r="FSV39" s="704"/>
      <c r="FSW39" s="704"/>
      <c r="FSX39" s="704"/>
      <c r="FSY39" s="704"/>
      <c r="FSZ39" s="704"/>
      <c r="FTA39" s="704"/>
      <c r="FTB39" s="704"/>
      <c r="FTC39" s="704"/>
      <c r="FTD39" s="704"/>
      <c r="FTE39" s="704"/>
      <c r="FTF39" s="704"/>
      <c r="FTG39" s="704"/>
      <c r="FTH39" s="704"/>
      <c r="FTI39" s="704"/>
      <c r="FTJ39" s="704"/>
      <c r="FTK39" s="704"/>
      <c r="FTL39" s="704"/>
      <c r="FTM39" s="704"/>
      <c r="FTN39" s="704"/>
      <c r="FTO39" s="704"/>
      <c r="FTP39" s="704"/>
      <c r="FTQ39" s="704"/>
      <c r="FTR39" s="704"/>
      <c r="FTS39" s="704"/>
      <c r="FTT39" s="704"/>
      <c r="FTU39" s="704"/>
      <c r="FTV39" s="704"/>
      <c r="FTW39" s="704"/>
      <c r="FTX39" s="704"/>
      <c r="FTY39" s="704"/>
      <c r="FTZ39" s="704"/>
      <c r="FUA39" s="704"/>
      <c r="FUB39" s="704"/>
      <c r="FUC39" s="704"/>
      <c r="FUD39" s="704"/>
      <c r="FUE39" s="704"/>
      <c r="FUF39" s="704"/>
      <c r="FUG39" s="704"/>
      <c r="FUH39" s="704"/>
      <c r="FUI39" s="704"/>
      <c r="FUJ39" s="704"/>
      <c r="FUK39" s="704"/>
      <c r="FUL39" s="704"/>
      <c r="FUM39" s="704"/>
      <c r="FUN39" s="704"/>
      <c r="FUO39" s="704"/>
      <c r="FUP39" s="704"/>
      <c r="FUQ39" s="704"/>
      <c r="FUR39" s="704"/>
      <c r="FUS39" s="704"/>
      <c r="FUT39" s="704"/>
      <c r="FUU39" s="704"/>
      <c r="FUV39" s="704"/>
      <c r="FUW39" s="704"/>
      <c r="FUX39" s="704"/>
      <c r="FUY39" s="704"/>
      <c r="FUZ39" s="704"/>
      <c r="FVA39" s="704"/>
      <c r="FVB39" s="704"/>
      <c r="FVC39" s="704"/>
      <c r="FVD39" s="704"/>
      <c r="FVE39" s="704"/>
      <c r="FVF39" s="704"/>
      <c r="FVG39" s="704"/>
      <c r="FVH39" s="704"/>
      <c r="FVI39" s="704"/>
      <c r="FVJ39" s="704"/>
      <c r="FVK39" s="704"/>
      <c r="FVL39" s="704"/>
      <c r="FVM39" s="704"/>
      <c r="FVN39" s="704"/>
      <c r="FVO39" s="704"/>
      <c r="FVP39" s="704"/>
      <c r="FVQ39" s="704"/>
      <c r="FVR39" s="704"/>
      <c r="FVS39" s="704"/>
      <c r="FVT39" s="704"/>
      <c r="FVU39" s="704"/>
      <c r="FVV39" s="704"/>
      <c r="FVW39" s="704"/>
      <c r="FVX39" s="704"/>
      <c r="FVY39" s="704"/>
      <c r="FVZ39" s="704"/>
      <c r="FWA39" s="704"/>
      <c r="FWB39" s="704"/>
      <c r="FWC39" s="704"/>
      <c r="FWD39" s="704"/>
      <c r="FWE39" s="704"/>
      <c r="FWF39" s="704"/>
      <c r="FWG39" s="704"/>
      <c r="FWH39" s="704"/>
      <c r="FWI39" s="704"/>
      <c r="FWJ39" s="704"/>
      <c r="FWK39" s="704"/>
      <c r="FWL39" s="704"/>
      <c r="FWM39" s="704"/>
      <c r="FWN39" s="704"/>
      <c r="FWO39" s="704"/>
      <c r="FWP39" s="704"/>
      <c r="FWQ39" s="704"/>
      <c r="FWR39" s="704"/>
      <c r="FWS39" s="704"/>
      <c r="FWT39" s="704"/>
      <c r="FWU39" s="704"/>
      <c r="FWV39" s="704"/>
      <c r="FWW39" s="704"/>
      <c r="FWX39" s="704"/>
      <c r="FWY39" s="704"/>
      <c r="FWZ39" s="704"/>
      <c r="FXA39" s="704"/>
      <c r="FXB39" s="704"/>
      <c r="FXC39" s="704"/>
      <c r="FXD39" s="704"/>
      <c r="FXE39" s="704"/>
      <c r="FXF39" s="704"/>
      <c r="FXG39" s="704"/>
      <c r="FXH39" s="704"/>
      <c r="FXI39" s="704"/>
      <c r="FXJ39" s="704"/>
      <c r="FXK39" s="704"/>
      <c r="FXL39" s="704"/>
      <c r="FXM39" s="704"/>
      <c r="FXN39" s="704"/>
      <c r="FXO39" s="704"/>
      <c r="FXP39" s="704"/>
      <c r="FXQ39" s="704"/>
      <c r="FXR39" s="704"/>
      <c r="FXS39" s="704"/>
      <c r="FXT39" s="704"/>
      <c r="FXU39" s="704"/>
      <c r="FXV39" s="704"/>
      <c r="FXW39" s="704"/>
      <c r="FXX39" s="704"/>
      <c r="FXY39" s="704"/>
      <c r="FXZ39" s="704"/>
      <c r="FYA39" s="704"/>
      <c r="FYB39" s="704"/>
      <c r="FYC39" s="704"/>
      <c r="FYD39" s="704"/>
      <c r="FYE39" s="704"/>
      <c r="FYF39" s="704"/>
      <c r="FYG39" s="704"/>
      <c r="FYH39" s="704"/>
      <c r="FYI39" s="704"/>
      <c r="FYJ39" s="704"/>
      <c r="FYK39" s="704"/>
      <c r="FYL39" s="704"/>
      <c r="FYM39" s="704"/>
      <c r="FYN39" s="704"/>
      <c r="FYO39" s="704"/>
      <c r="FYP39" s="704"/>
      <c r="FYQ39" s="704"/>
      <c r="FYR39" s="704"/>
      <c r="FYS39" s="704"/>
      <c r="FYT39" s="704"/>
      <c r="FYU39" s="704"/>
      <c r="FYV39" s="704"/>
      <c r="FYW39" s="704"/>
      <c r="FYX39" s="704"/>
      <c r="FYY39" s="704"/>
      <c r="FYZ39" s="704"/>
      <c r="FZA39" s="704"/>
      <c r="FZB39" s="704"/>
      <c r="FZC39" s="704"/>
      <c r="FZD39" s="704"/>
      <c r="FZE39" s="704"/>
      <c r="FZF39" s="704"/>
      <c r="FZG39" s="704"/>
      <c r="FZH39" s="704"/>
      <c r="FZI39" s="704"/>
      <c r="FZJ39" s="704"/>
      <c r="FZK39" s="704"/>
      <c r="FZL39" s="704"/>
      <c r="FZM39" s="704"/>
      <c r="FZN39" s="704"/>
      <c r="FZO39" s="704"/>
      <c r="FZP39" s="704"/>
      <c r="FZQ39" s="704"/>
      <c r="FZR39" s="704"/>
      <c r="FZS39" s="704"/>
      <c r="FZT39" s="704"/>
      <c r="FZU39" s="704"/>
      <c r="FZV39" s="704"/>
      <c r="FZW39" s="704"/>
      <c r="FZX39" s="704"/>
      <c r="FZY39" s="704"/>
      <c r="FZZ39" s="704"/>
      <c r="GAA39" s="704"/>
      <c r="GAB39" s="704"/>
      <c r="GAC39" s="704"/>
      <c r="GAD39" s="704"/>
      <c r="GAE39" s="704"/>
      <c r="GAF39" s="704"/>
      <c r="GAG39" s="704"/>
      <c r="GAH39" s="704"/>
      <c r="GAI39" s="704"/>
      <c r="GAJ39" s="704"/>
      <c r="GAK39" s="704"/>
      <c r="GAL39" s="704"/>
      <c r="GAM39" s="704"/>
      <c r="GAN39" s="704"/>
      <c r="GAO39" s="704"/>
      <c r="GAP39" s="704"/>
      <c r="GAQ39" s="704"/>
      <c r="GAR39" s="704"/>
      <c r="GAS39" s="704"/>
      <c r="GAT39" s="704"/>
      <c r="GAU39" s="704"/>
      <c r="GAV39" s="704"/>
      <c r="GAW39" s="704"/>
      <c r="GAX39" s="704"/>
      <c r="GAY39" s="704"/>
      <c r="GAZ39" s="704"/>
      <c r="GBA39" s="704"/>
      <c r="GBB39" s="704"/>
      <c r="GBC39" s="704"/>
      <c r="GBD39" s="704"/>
      <c r="GBE39" s="704"/>
      <c r="GBF39" s="704"/>
      <c r="GBG39" s="704"/>
      <c r="GBH39" s="704"/>
      <c r="GBI39" s="704"/>
      <c r="GBJ39" s="704"/>
      <c r="GBK39" s="704"/>
      <c r="GBL39" s="704"/>
      <c r="GBM39" s="704"/>
      <c r="GBN39" s="704"/>
      <c r="GBO39" s="704"/>
      <c r="GBP39" s="704"/>
      <c r="GBQ39" s="704"/>
      <c r="GBR39" s="704"/>
      <c r="GBS39" s="704"/>
      <c r="GBT39" s="704"/>
      <c r="GBU39" s="704"/>
      <c r="GBV39" s="704"/>
      <c r="GBW39" s="704"/>
      <c r="GBX39" s="704"/>
      <c r="GBY39" s="704"/>
      <c r="GBZ39" s="704"/>
      <c r="GCA39" s="704"/>
      <c r="GCB39" s="704"/>
      <c r="GCC39" s="704"/>
      <c r="GCD39" s="704"/>
      <c r="GCE39" s="704"/>
      <c r="GCF39" s="704"/>
      <c r="GCG39" s="704"/>
      <c r="GCH39" s="704"/>
      <c r="GCI39" s="704"/>
      <c r="GCJ39" s="704"/>
      <c r="GCK39" s="704"/>
      <c r="GCL39" s="704"/>
      <c r="GCM39" s="704"/>
      <c r="GCN39" s="704"/>
      <c r="GCO39" s="704"/>
      <c r="GCP39" s="704"/>
      <c r="GCQ39" s="704"/>
      <c r="GCR39" s="704"/>
      <c r="GCS39" s="704"/>
      <c r="GCT39" s="704"/>
      <c r="GCU39" s="704"/>
      <c r="GCV39" s="704"/>
      <c r="GCW39" s="704"/>
      <c r="GCX39" s="704"/>
      <c r="GCY39" s="704"/>
      <c r="GCZ39" s="704"/>
      <c r="GDA39" s="704"/>
      <c r="GDB39" s="704"/>
      <c r="GDC39" s="704"/>
      <c r="GDD39" s="704"/>
      <c r="GDE39" s="704"/>
      <c r="GDF39" s="704"/>
      <c r="GDG39" s="704"/>
      <c r="GDH39" s="704"/>
      <c r="GDI39" s="704"/>
      <c r="GDJ39" s="704"/>
      <c r="GDK39" s="704"/>
      <c r="GDL39" s="704"/>
      <c r="GDM39" s="704"/>
      <c r="GDN39" s="704"/>
      <c r="GDO39" s="704"/>
      <c r="GDP39" s="704"/>
      <c r="GDQ39" s="704"/>
      <c r="GDR39" s="704"/>
      <c r="GDS39" s="704"/>
      <c r="GDT39" s="704"/>
      <c r="GDU39" s="704"/>
      <c r="GDV39" s="704"/>
      <c r="GDW39" s="704"/>
      <c r="GDX39" s="704"/>
      <c r="GDY39" s="704"/>
      <c r="GDZ39" s="704"/>
      <c r="GEA39" s="704"/>
      <c r="GEB39" s="704"/>
      <c r="GEC39" s="704"/>
      <c r="GED39" s="704"/>
      <c r="GEE39" s="704"/>
      <c r="GEF39" s="704"/>
      <c r="GEG39" s="704"/>
      <c r="GEH39" s="704"/>
      <c r="GEI39" s="704"/>
      <c r="GEJ39" s="704"/>
      <c r="GEK39" s="704"/>
      <c r="GEL39" s="704"/>
      <c r="GEM39" s="704"/>
      <c r="GEN39" s="704"/>
      <c r="GEO39" s="704"/>
      <c r="GEP39" s="704"/>
      <c r="GEQ39" s="704"/>
      <c r="GER39" s="704"/>
      <c r="GES39" s="704"/>
      <c r="GET39" s="704"/>
      <c r="GEU39" s="704"/>
      <c r="GEV39" s="704"/>
      <c r="GEW39" s="704"/>
      <c r="GEX39" s="704"/>
      <c r="GEY39" s="704"/>
      <c r="GEZ39" s="704"/>
      <c r="GFA39" s="704"/>
      <c r="GFB39" s="704"/>
      <c r="GFC39" s="704"/>
      <c r="GFD39" s="704"/>
      <c r="GFE39" s="704"/>
      <c r="GFF39" s="704"/>
      <c r="GFG39" s="704"/>
      <c r="GFH39" s="704"/>
      <c r="GFI39" s="704"/>
      <c r="GFJ39" s="704"/>
      <c r="GFK39" s="704"/>
      <c r="GFL39" s="704"/>
      <c r="GFM39" s="704"/>
      <c r="GFN39" s="704"/>
      <c r="GFO39" s="704"/>
      <c r="GFP39" s="704"/>
      <c r="GFQ39" s="704"/>
      <c r="GFR39" s="704"/>
      <c r="GFS39" s="704"/>
      <c r="GFT39" s="704"/>
      <c r="GFU39" s="704"/>
      <c r="GFV39" s="704"/>
      <c r="GFW39" s="704"/>
      <c r="GFX39" s="704"/>
      <c r="GFY39" s="704"/>
      <c r="GFZ39" s="704"/>
      <c r="GGA39" s="704"/>
      <c r="GGB39" s="704"/>
      <c r="GGC39" s="704"/>
      <c r="GGD39" s="704"/>
      <c r="GGE39" s="704"/>
      <c r="GGF39" s="704"/>
      <c r="GGG39" s="704"/>
      <c r="GGH39" s="704"/>
      <c r="GGI39" s="704"/>
      <c r="GGJ39" s="704"/>
      <c r="GGK39" s="704"/>
      <c r="GGL39" s="704"/>
      <c r="GGM39" s="704"/>
      <c r="GGN39" s="704"/>
      <c r="GGO39" s="704"/>
      <c r="GGP39" s="704"/>
      <c r="GGQ39" s="704"/>
      <c r="GGR39" s="704"/>
      <c r="GGS39" s="704"/>
      <c r="GGT39" s="704"/>
      <c r="GGU39" s="704"/>
      <c r="GGV39" s="704"/>
      <c r="GGW39" s="704"/>
      <c r="GGX39" s="704"/>
      <c r="GGY39" s="704"/>
      <c r="GGZ39" s="704"/>
      <c r="GHA39" s="704"/>
      <c r="GHB39" s="704"/>
      <c r="GHC39" s="704"/>
      <c r="GHD39" s="704"/>
      <c r="GHE39" s="704"/>
      <c r="GHF39" s="704"/>
      <c r="GHG39" s="704"/>
      <c r="GHH39" s="704"/>
      <c r="GHI39" s="704"/>
      <c r="GHJ39" s="704"/>
      <c r="GHK39" s="704"/>
      <c r="GHL39" s="704"/>
      <c r="GHM39" s="704"/>
      <c r="GHN39" s="704"/>
      <c r="GHO39" s="704"/>
      <c r="GHP39" s="704"/>
      <c r="GHQ39" s="704"/>
      <c r="GHR39" s="704"/>
      <c r="GHS39" s="704"/>
      <c r="GHT39" s="704"/>
      <c r="GHU39" s="704"/>
      <c r="GHV39" s="704"/>
      <c r="GHW39" s="704"/>
      <c r="GHX39" s="704"/>
      <c r="GHY39" s="704"/>
      <c r="GHZ39" s="704"/>
      <c r="GIA39" s="704"/>
      <c r="GIB39" s="704"/>
      <c r="GIC39" s="704"/>
      <c r="GID39" s="704"/>
      <c r="GIE39" s="704"/>
      <c r="GIF39" s="704"/>
      <c r="GIG39" s="704"/>
      <c r="GIH39" s="704"/>
      <c r="GII39" s="704"/>
      <c r="GIJ39" s="704"/>
      <c r="GIK39" s="704"/>
      <c r="GIL39" s="704"/>
      <c r="GIM39" s="704"/>
      <c r="GIN39" s="704"/>
      <c r="GIO39" s="704"/>
      <c r="GIP39" s="704"/>
      <c r="GIQ39" s="704"/>
      <c r="GIR39" s="704"/>
      <c r="GIS39" s="704"/>
      <c r="GIT39" s="704"/>
      <c r="GIU39" s="704"/>
      <c r="GIV39" s="704"/>
      <c r="GIW39" s="704"/>
      <c r="GIX39" s="704"/>
      <c r="GIY39" s="704"/>
      <c r="GIZ39" s="704"/>
      <c r="GJA39" s="704"/>
      <c r="GJB39" s="704"/>
      <c r="GJC39" s="704"/>
      <c r="GJD39" s="704"/>
      <c r="GJE39" s="704"/>
      <c r="GJF39" s="704"/>
      <c r="GJG39" s="704"/>
      <c r="GJH39" s="704"/>
      <c r="GJI39" s="704"/>
      <c r="GJJ39" s="704"/>
      <c r="GJK39" s="704"/>
      <c r="GJL39" s="704"/>
      <c r="GJM39" s="704"/>
      <c r="GJN39" s="704"/>
      <c r="GJO39" s="704"/>
      <c r="GJP39" s="704"/>
      <c r="GJQ39" s="704"/>
      <c r="GJR39" s="704"/>
      <c r="GJS39" s="704"/>
      <c r="GJT39" s="704"/>
      <c r="GJU39" s="704"/>
      <c r="GJV39" s="704"/>
      <c r="GJW39" s="704"/>
      <c r="GJX39" s="704"/>
      <c r="GJY39" s="704"/>
      <c r="GJZ39" s="704"/>
      <c r="GKA39" s="704"/>
      <c r="GKB39" s="704"/>
      <c r="GKC39" s="704"/>
      <c r="GKD39" s="704"/>
      <c r="GKE39" s="704"/>
      <c r="GKF39" s="704"/>
      <c r="GKG39" s="704"/>
      <c r="GKH39" s="704"/>
      <c r="GKI39" s="704"/>
      <c r="GKJ39" s="704"/>
      <c r="GKK39" s="704"/>
      <c r="GKL39" s="704"/>
      <c r="GKM39" s="704"/>
      <c r="GKN39" s="704"/>
      <c r="GKO39" s="704"/>
      <c r="GKP39" s="704"/>
      <c r="GKQ39" s="704"/>
      <c r="GKR39" s="704"/>
      <c r="GKS39" s="704"/>
      <c r="GKT39" s="704"/>
      <c r="GKU39" s="704"/>
      <c r="GKV39" s="704"/>
      <c r="GKW39" s="704"/>
      <c r="GKX39" s="704"/>
      <c r="GKY39" s="704"/>
      <c r="GKZ39" s="704"/>
      <c r="GLA39" s="704"/>
      <c r="GLB39" s="704"/>
      <c r="GLC39" s="704"/>
      <c r="GLD39" s="704"/>
      <c r="GLE39" s="704"/>
      <c r="GLF39" s="704"/>
      <c r="GLG39" s="704"/>
      <c r="GLH39" s="704"/>
      <c r="GLI39" s="704"/>
      <c r="GLJ39" s="704"/>
      <c r="GLK39" s="704"/>
      <c r="GLL39" s="704"/>
      <c r="GLM39" s="704"/>
      <c r="GLN39" s="704"/>
      <c r="GLO39" s="704"/>
      <c r="GLP39" s="704"/>
      <c r="GLQ39" s="704"/>
      <c r="GLR39" s="704"/>
      <c r="GLS39" s="704"/>
      <c r="GLT39" s="704"/>
      <c r="GLU39" s="704"/>
      <c r="GLV39" s="704"/>
      <c r="GLW39" s="704"/>
      <c r="GLX39" s="704"/>
      <c r="GLY39" s="704"/>
      <c r="GLZ39" s="704"/>
      <c r="GMA39" s="704"/>
      <c r="GMB39" s="704"/>
      <c r="GMC39" s="704"/>
      <c r="GMD39" s="704"/>
      <c r="GME39" s="704"/>
      <c r="GMF39" s="704"/>
      <c r="GMG39" s="704"/>
      <c r="GMH39" s="704"/>
      <c r="GMI39" s="704"/>
      <c r="GMJ39" s="704"/>
      <c r="GMK39" s="704"/>
      <c r="GML39" s="704"/>
      <c r="GMM39" s="704"/>
      <c r="GMN39" s="704"/>
      <c r="GMO39" s="704"/>
      <c r="GMP39" s="704"/>
      <c r="GMQ39" s="704"/>
      <c r="GMR39" s="704"/>
      <c r="GMS39" s="704"/>
      <c r="GMT39" s="704"/>
      <c r="GMU39" s="704"/>
      <c r="GMV39" s="704"/>
      <c r="GMW39" s="704"/>
      <c r="GMX39" s="704"/>
      <c r="GMY39" s="704"/>
      <c r="GMZ39" s="704"/>
      <c r="GNA39" s="704"/>
      <c r="GNB39" s="704"/>
      <c r="GNC39" s="704"/>
      <c r="GND39" s="704"/>
      <c r="GNE39" s="704"/>
      <c r="GNF39" s="704"/>
      <c r="GNG39" s="704"/>
      <c r="GNH39" s="704"/>
      <c r="GNI39" s="704"/>
      <c r="GNJ39" s="704"/>
      <c r="GNK39" s="704"/>
      <c r="GNL39" s="704"/>
      <c r="GNM39" s="704"/>
      <c r="GNN39" s="704"/>
      <c r="GNO39" s="704"/>
      <c r="GNP39" s="704"/>
      <c r="GNQ39" s="704"/>
      <c r="GNR39" s="704"/>
      <c r="GNS39" s="704"/>
      <c r="GNT39" s="704"/>
      <c r="GNU39" s="704"/>
      <c r="GNV39" s="704"/>
      <c r="GNW39" s="704"/>
      <c r="GNX39" s="704"/>
      <c r="GNY39" s="704"/>
      <c r="GNZ39" s="704"/>
      <c r="GOA39" s="704"/>
      <c r="GOB39" s="704"/>
      <c r="GOC39" s="704"/>
      <c r="GOD39" s="704"/>
      <c r="GOE39" s="704"/>
      <c r="GOF39" s="704"/>
      <c r="GOG39" s="704"/>
      <c r="GOH39" s="704"/>
      <c r="GOI39" s="704"/>
      <c r="GOJ39" s="704"/>
      <c r="GOK39" s="704"/>
      <c r="GOL39" s="704"/>
      <c r="GOM39" s="704"/>
      <c r="GON39" s="704"/>
      <c r="GOO39" s="704"/>
      <c r="GOP39" s="704"/>
      <c r="GOQ39" s="704"/>
      <c r="GOR39" s="704"/>
      <c r="GOS39" s="704"/>
      <c r="GOT39" s="704"/>
      <c r="GOU39" s="704"/>
      <c r="GOV39" s="704"/>
      <c r="GOW39" s="704"/>
      <c r="GOX39" s="704"/>
      <c r="GOY39" s="704"/>
      <c r="GOZ39" s="704"/>
      <c r="GPA39" s="704"/>
      <c r="GPB39" s="704"/>
      <c r="GPC39" s="704"/>
      <c r="GPD39" s="704"/>
      <c r="GPE39" s="704"/>
      <c r="GPF39" s="704"/>
      <c r="GPG39" s="704"/>
      <c r="GPH39" s="704"/>
      <c r="GPI39" s="704"/>
      <c r="GPJ39" s="704"/>
      <c r="GPK39" s="704"/>
      <c r="GPL39" s="704"/>
      <c r="GPM39" s="704"/>
      <c r="GPN39" s="704"/>
      <c r="GPO39" s="704"/>
      <c r="GPP39" s="704"/>
      <c r="GPQ39" s="704"/>
      <c r="GPR39" s="704"/>
      <c r="GPS39" s="704"/>
      <c r="GPT39" s="704"/>
      <c r="GPU39" s="704"/>
      <c r="GPV39" s="704"/>
      <c r="GPW39" s="704"/>
      <c r="GPX39" s="704"/>
      <c r="GPY39" s="704"/>
      <c r="GPZ39" s="704"/>
      <c r="GQA39" s="704"/>
      <c r="GQB39" s="704"/>
      <c r="GQC39" s="704"/>
      <c r="GQD39" s="704"/>
      <c r="GQE39" s="704"/>
      <c r="GQF39" s="704"/>
      <c r="GQG39" s="704"/>
      <c r="GQH39" s="704"/>
      <c r="GQI39" s="704"/>
      <c r="GQJ39" s="704"/>
      <c r="GQK39" s="704"/>
      <c r="GQL39" s="704"/>
      <c r="GQM39" s="704"/>
      <c r="GQN39" s="704"/>
      <c r="GQO39" s="704"/>
      <c r="GQP39" s="704"/>
      <c r="GQQ39" s="704"/>
      <c r="GQR39" s="704"/>
      <c r="GQS39" s="704"/>
      <c r="GQT39" s="704"/>
      <c r="GQU39" s="704"/>
      <c r="GQV39" s="704"/>
      <c r="GQW39" s="704"/>
      <c r="GQX39" s="704"/>
      <c r="GQY39" s="704"/>
      <c r="GQZ39" s="704"/>
      <c r="GRA39" s="704"/>
      <c r="GRB39" s="704"/>
      <c r="GRC39" s="704"/>
      <c r="GRD39" s="704"/>
      <c r="GRE39" s="704"/>
      <c r="GRF39" s="704"/>
      <c r="GRG39" s="704"/>
      <c r="GRH39" s="704"/>
      <c r="GRI39" s="704"/>
      <c r="GRJ39" s="704"/>
      <c r="GRK39" s="704"/>
      <c r="GRL39" s="704"/>
      <c r="GRM39" s="704"/>
      <c r="GRN39" s="704"/>
      <c r="GRO39" s="704"/>
      <c r="GRP39" s="704"/>
      <c r="GRQ39" s="704"/>
      <c r="GRR39" s="704"/>
      <c r="GRS39" s="704"/>
      <c r="GRT39" s="704"/>
      <c r="GRU39" s="704"/>
      <c r="GRV39" s="704"/>
      <c r="GRW39" s="704"/>
      <c r="GRX39" s="704"/>
      <c r="GRY39" s="704"/>
      <c r="GRZ39" s="704"/>
      <c r="GSA39" s="704"/>
      <c r="GSB39" s="704"/>
      <c r="GSC39" s="704"/>
      <c r="GSD39" s="704"/>
      <c r="GSE39" s="704"/>
      <c r="GSF39" s="704"/>
      <c r="GSG39" s="704"/>
      <c r="GSH39" s="704"/>
      <c r="GSI39" s="704"/>
      <c r="GSJ39" s="704"/>
      <c r="GSK39" s="704"/>
      <c r="GSL39" s="704"/>
      <c r="GSM39" s="704"/>
      <c r="GSN39" s="704"/>
      <c r="GSO39" s="704"/>
      <c r="GSP39" s="704"/>
      <c r="GSQ39" s="704"/>
      <c r="GSR39" s="704"/>
      <c r="GSS39" s="704"/>
      <c r="GST39" s="704"/>
      <c r="GSU39" s="704"/>
      <c r="GSV39" s="704"/>
      <c r="GSW39" s="704"/>
      <c r="GSX39" s="704"/>
      <c r="GSY39" s="704"/>
      <c r="GSZ39" s="704"/>
      <c r="GTA39" s="704"/>
      <c r="GTB39" s="704"/>
      <c r="GTC39" s="704"/>
      <c r="GTD39" s="704"/>
      <c r="GTE39" s="704"/>
      <c r="GTF39" s="704"/>
      <c r="GTG39" s="704"/>
      <c r="GTH39" s="704"/>
      <c r="GTI39" s="704"/>
      <c r="GTJ39" s="704"/>
      <c r="GTK39" s="704"/>
      <c r="GTL39" s="704"/>
      <c r="GTM39" s="704"/>
      <c r="GTN39" s="704"/>
      <c r="GTO39" s="704"/>
      <c r="GTP39" s="704"/>
      <c r="GTQ39" s="704"/>
      <c r="GTR39" s="704"/>
      <c r="GTS39" s="704"/>
      <c r="GTT39" s="704"/>
      <c r="GTU39" s="704"/>
      <c r="GTV39" s="704"/>
      <c r="GTW39" s="704"/>
      <c r="GTX39" s="704"/>
      <c r="GTY39" s="704"/>
      <c r="GTZ39" s="704"/>
      <c r="GUA39" s="704"/>
      <c r="GUB39" s="704"/>
      <c r="GUC39" s="704"/>
      <c r="GUD39" s="704"/>
      <c r="GUE39" s="704"/>
      <c r="GUF39" s="704"/>
      <c r="GUG39" s="704"/>
      <c r="GUH39" s="704"/>
      <c r="GUI39" s="704"/>
      <c r="GUJ39" s="704"/>
      <c r="GUK39" s="704"/>
      <c r="GUL39" s="704"/>
      <c r="GUM39" s="704"/>
      <c r="GUN39" s="704"/>
      <c r="GUO39" s="704"/>
      <c r="GUP39" s="704"/>
      <c r="GUQ39" s="704"/>
      <c r="GUR39" s="704"/>
      <c r="GUS39" s="704"/>
      <c r="GUT39" s="704"/>
      <c r="GUU39" s="704"/>
      <c r="GUV39" s="704"/>
      <c r="GUW39" s="704"/>
      <c r="GUX39" s="704"/>
      <c r="GUY39" s="704"/>
      <c r="GUZ39" s="704"/>
      <c r="GVA39" s="704"/>
      <c r="GVB39" s="704"/>
      <c r="GVC39" s="704"/>
      <c r="GVD39" s="704"/>
      <c r="GVE39" s="704"/>
      <c r="GVF39" s="704"/>
      <c r="GVG39" s="704"/>
      <c r="GVH39" s="704"/>
      <c r="GVI39" s="704"/>
      <c r="GVJ39" s="704"/>
      <c r="GVK39" s="704"/>
      <c r="GVL39" s="704"/>
      <c r="GVM39" s="704"/>
      <c r="GVN39" s="704"/>
      <c r="GVO39" s="704"/>
      <c r="GVP39" s="704"/>
      <c r="GVQ39" s="704"/>
      <c r="GVR39" s="704"/>
      <c r="GVS39" s="704"/>
      <c r="GVT39" s="704"/>
      <c r="GVU39" s="704"/>
      <c r="GVV39" s="704"/>
      <c r="GVW39" s="704"/>
      <c r="GVX39" s="704"/>
      <c r="GVY39" s="704"/>
      <c r="GVZ39" s="704"/>
      <c r="GWA39" s="704"/>
      <c r="GWB39" s="704"/>
      <c r="GWC39" s="704"/>
      <c r="GWD39" s="704"/>
      <c r="GWE39" s="704"/>
      <c r="GWF39" s="704"/>
      <c r="GWG39" s="704"/>
      <c r="GWH39" s="704"/>
      <c r="GWI39" s="704"/>
      <c r="GWJ39" s="704"/>
      <c r="GWK39" s="704"/>
      <c r="GWL39" s="704"/>
      <c r="GWM39" s="704"/>
      <c r="GWN39" s="704"/>
      <c r="GWO39" s="704"/>
      <c r="GWP39" s="704"/>
      <c r="GWQ39" s="704"/>
      <c r="GWR39" s="704"/>
      <c r="GWS39" s="704"/>
      <c r="GWT39" s="704"/>
      <c r="GWU39" s="704"/>
      <c r="GWV39" s="704"/>
      <c r="GWW39" s="704"/>
      <c r="GWX39" s="704"/>
      <c r="GWY39" s="704"/>
      <c r="GWZ39" s="704"/>
      <c r="GXA39" s="704"/>
      <c r="GXB39" s="704"/>
      <c r="GXC39" s="704"/>
      <c r="GXD39" s="704"/>
      <c r="GXE39" s="704"/>
      <c r="GXF39" s="704"/>
      <c r="GXG39" s="704"/>
      <c r="GXH39" s="704"/>
      <c r="GXI39" s="704"/>
      <c r="GXJ39" s="704"/>
      <c r="GXK39" s="704"/>
      <c r="GXL39" s="704"/>
      <c r="GXM39" s="704"/>
      <c r="GXN39" s="704"/>
      <c r="GXO39" s="704"/>
      <c r="GXP39" s="704"/>
      <c r="GXQ39" s="704"/>
      <c r="GXR39" s="704"/>
      <c r="GXS39" s="704"/>
      <c r="GXT39" s="704"/>
      <c r="GXU39" s="704"/>
      <c r="GXV39" s="704"/>
      <c r="GXW39" s="704"/>
      <c r="GXX39" s="704"/>
      <c r="GXY39" s="704"/>
      <c r="GXZ39" s="704"/>
      <c r="GYA39" s="704"/>
      <c r="GYB39" s="704"/>
      <c r="GYC39" s="704"/>
      <c r="GYD39" s="704"/>
      <c r="GYE39" s="704"/>
      <c r="GYF39" s="704"/>
      <c r="GYG39" s="704"/>
      <c r="GYH39" s="704"/>
      <c r="GYI39" s="704"/>
      <c r="GYJ39" s="704"/>
      <c r="GYK39" s="704"/>
      <c r="GYL39" s="704"/>
      <c r="GYM39" s="704"/>
      <c r="GYN39" s="704"/>
      <c r="GYO39" s="704"/>
      <c r="GYP39" s="704"/>
      <c r="GYQ39" s="704"/>
      <c r="GYR39" s="704"/>
      <c r="GYS39" s="704"/>
      <c r="GYT39" s="704"/>
      <c r="GYU39" s="704"/>
      <c r="GYV39" s="704"/>
      <c r="GYW39" s="704"/>
      <c r="GYX39" s="704"/>
      <c r="GYY39" s="704"/>
      <c r="GYZ39" s="704"/>
      <c r="GZA39" s="704"/>
      <c r="GZB39" s="704"/>
      <c r="GZC39" s="704"/>
      <c r="GZD39" s="704"/>
      <c r="GZE39" s="704"/>
      <c r="GZF39" s="704"/>
      <c r="GZG39" s="704"/>
      <c r="GZH39" s="704"/>
      <c r="GZI39" s="704"/>
      <c r="GZJ39" s="704"/>
      <c r="GZK39" s="704"/>
      <c r="GZL39" s="704"/>
      <c r="GZM39" s="704"/>
      <c r="GZN39" s="704"/>
      <c r="GZO39" s="704"/>
      <c r="GZP39" s="704"/>
      <c r="GZQ39" s="704"/>
      <c r="GZR39" s="704"/>
      <c r="GZS39" s="704"/>
      <c r="GZT39" s="704"/>
      <c r="GZU39" s="704"/>
      <c r="GZV39" s="704"/>
      <c r="GZW39" s="704"/>
      <c r="GZX39" s="704"/>
      <c r="GZY39" s="704"/>
      <c r="GZZ39" s="704"/>
      <c r="HAA39" s="704"/>
      <c r="HAB39" s="704"/>
      <c r="HAC39" s="704"/>
      <c r="HAD39" s="704"/>
      <c r="HAE39" s="704"/>
      <c r="HAF39" s="704"/>
      <c r="HAG39" s="704"/>
      <c r="HAH39" s="704"/>
      <c r="HAI39" s="704"/>
      <c r="HAJ39" s="704"/>
      <c r="HAK39" s="704"/>
      <c r="HAL39" s="704"/>
      <c r="HAM39" s="704"/>
      <c r="HAN39" s="704"/>
      <c r="HAO39" s="704"/>
      <c r="HAP39" s="704"/>
      <c r="HAQ39" s="704"/>
      <c r="HAR39" s="704"/>
      <c r="HAS39" s="704"/>
      <c r="HAT39" s="704"/>
      <c r="HAU39" s="704"/>
      <c r="HAV39" s="704"/>
      <c r="HAW39" s="704"/>
      <c r="HAX39" s="704"/>
      <c r="HAY39" s="704"/>
      <c r="HAZ39" s="704"/>
      <c r="HBA39" s="704"/>
      <c r="HBB39" s="704"/>
      <c r="HBC39" s="704"/>
      <c r="HBD39" s="704"/>
      <c r="HBE39" s="704"/>
      <c r="HBF39" s="704"/>
      <c r="HBG39" s="704"/>
      <c r="HBH39" s="704"/>
      <c r="HBI39" s="704"/>
      <c r="HBJ39" s="704"/>
      <c r="HBK39" s="704"/>
      <c r="HBL39" s="704"/>
      <c r="HBM39" s="704"/>
      <c r="HBN39" s="704"/>
      <c r="HBO39" s="704"/>
      <c r="HBP39" s="704"/>
      <c r="HBQ39" s="704"/>
      <c r="HBR39" s="704"/>
      <c r="HBS39" s="704"/>
      <c r="HBT39" s="704"/>
      <c r="HBU39" s="704"/>
      <c r="HBV39" s="704"/>
      <c r="HBW39" s="704"/>
      <c r="HBX39" s="704"/>
      <c r="HBY39" s="704"/>
      <c r="HBZ39" s="704"/>
      <c r="HCA39" s="704"/>
      <c r="HCB39" s="704"/>
      <c r="HCC39" s="704"/>
      <c r="HCD39" s="704"/>
      <c r="HCE39" s="704"/>
      <c r="HCF39" s="704"/>
      <c r="HCG39" s="704"/>
      <c r="HCH39" s="704"/>
      <c r="HCI39" s="704"/>
      <c r="HCJ39" s="704"/>
      <c r="HCK39" s="704"/>
      <c r="HCL39" s="704"/>
      <c r="HCM39" s="704"/>
      <c r="HCN39" s="704"/>
      <c r="HCO39" s="704"/>
      <c r="HCP39" s="704"/>
      <c r="HCQ39" s="704"/>
      <c r="HCR39" s="704"/>
      <c r="HCS39" s="704"/>
      <c r="HCT39" s="704"/>
      <c r="HCU39" s="704"/>
      <c r="HCV39" s="704"/>
      <c r="HCW39" s="704"/>
      <c r="HCX39" s="704"/>
      <c r="HCY39" s="704"/>
      <c r="HCZ39" s="704"/>
      <c r="HDA39" s="704"/>
      <c r="HDB39" s="704"/>
      <c r="HDC39" s="704"/>
      <c r="HDD39" s="704"/>
      <c r="HDE39" s="704"/>
      <c r="HDF39" s="704"/>
      <c r="HDG39" s="704"/>
      <c r="HDH39" s="704"/>
      <c r="HDI39" s="704"/>
      <c r="HDJ39" s="704"/>
      <c r="HDK39" s="704"/>
      <c r="HDL39" s="704"/>
      <c r="HDM39" s="704"/>
      <c r="HDN39" s="704"/>
      <c r="HDO39" s="704"/>
      <c r="HDP39" s="704"/>
      <c r="HDQ39" s="704"/>
      <c r="HDR39" s="704"/>
      <c r="HDS39" s="704"/>
      <c r="HDT39" s="704"/>
      <c r="HDU39" s="704"/>
      <c r="HDV39" s="704"/>
      <c r="HDW39" s="704"/>
      <c r="HDX39" s="704"/>
      <c r="HDY39" s="704"/>
      <c r="HDZ39" s="704"/>
      <c r="HEA39" s="704"/>
      <c r="HEB39" s="704"/>
      <c r="HEC39" s="704"/>
      <c r="HED39" s="704"/>
      <c r="HEE39" s="704"/>
      <c r="HEF39" s="704"/>
      <c r="HEG39" s="704"/>
      <c r="HEH39" s="704"/>
      <c r="HEI39" s="704"/>
      <c r="HEJ39" s="704"/>
      <c r="HEK39" s="704"/>
      <c r="HEL39" s="704"/>
      <c r="HEM39" s="704"/>
      <c r="HEN39" s="704"/>
      <c r="HEO39" s="704"/>
      <c r="HEP39" s="704"/>
      <c r="HEQ39" s="704"/>
      <c r="HER39" s="704"/>
      <c r="HES39" s="704"/>
      <c r="HET39" s="704"/>
      <c r="HEU39" s="704"/>
      <c r="HEV39" s="704"/>
      <c r="HEW39" s="704"/>
      <c r="HEX39" s="704"/>
      <c r="HEY39" s="704"/>
      <c r="HEZ39" s="704"/>
      <c r="HFA39" s="704"/>
      <c r="HFB39" s="704"/>
      <c r="HFC39" s="704"/>
      <c r="HFD39" s="704"/>
      <c r="HFE39" s="704"/>
      <c r="HFF39" s="704"/>
      <c r="HFG39" s="704"/>
      <c r="HFH39" s="704"/>
      <c r="HFI39" s="704"/>
      <c r="HFJ39" s="704"/>
      <c r="HFK39" s="704"/>
      <c r="HFL39" s="704"/>
      <c r="HFM39" s="704"/>
      <c r="HFN39" s="704"/>
      <c r="HFO39" s="704"/>
      <c r="HFP39" s="704"/>
      <c r="HFQ39" s="704"/>
      <c r="HFR39" s="704"/>
      <c r="HFS39" s="704"/>
      <c r="HFT39" s="704"/>
      <c r="HFU39" s="704"/>
      <c r="HFV39" s="704"/>
      <c r="HFW39" s="704"/>
      <c r="HFX39" s="704"/>
      <c r="HFY39" s="704"/>
      <c r="HFZ39" s="704"/>
      <c r="HGA39" s="704"/>
      <c r="HGB39" s="704"/>
      <c r="HGC39" s="704"/>
      <c r="HGD39" s="704"/>
      <c r="HGE39" s="704"/>
      <c r="HGF39" s="704"/>
      <c r="HGG39" s="704"/>
      <c r="HGH39" s="704"/>
      <c r="HGI39" s="704"/>
      <c r="HGJ39" s="704"/>
      <c r="HGK39" s="704"/>
      <c r="HGL39" s="704"/>
      <c r="HGM39" s="704"/>
      <c r="HGN39" s="704"/>
      <c r="HGO39" s="704"/>
      <c r="HGP39" s="704"/>
      <c r="HGQ39" s="704"/>
      <c r="HGR39" s="704"/>
      <c r="HGS39" s="704"/>
      <c r="HGT39" s="704"/>
      <c r="HGU39" s="704"/>
      <c r="HGV39" s="704"/>
      <c r="HGW39" s="704"/>
      <c r="HGX39" s="704"/>
      <c r="HGY39" s="704"/>
      <c r="HGZ39" s="704"/>
      <c r="HHA39" s="704"/>
      <c r="HHB39" s="704"/>
      <c r="HHC39" s="704"/>
      <c r="HHD39" s="704"/>
      <c r="HHE39" s="704"/>
      <c r="HHF39" s="704"/>
      <c r="HHG39" s="704"/>
      <c r="HHH39" s="704"/>
      <c r="HHI39" s="704"/>
      <c r="HHJ39" s="704"/>
      <c r="HHK39" s="704"/>
      <c r="HHL39" s="704"/>
      <c r="HHM39" s="704"/>
      <c r="HHN39" s="704"/>
      <c r="HHO39" s="704"/>
      <c r="HHP39" s="704"/>
      <c r="HHQ39" s="704"/>
      <c r="HHR39" s="704"/>
      <c r="HHS39" s="704"/>
      <c r="HHT39" s="704"/>
      <c r="HHU39" s="704"/>
      <c r="HHV39" s="704"/>
      <c r="HHW39" s="704"/>
      <c r="HHX39" s="704"/>
      <c r="HHY39" s="704"/>
      <c r="HHZ39" s="704"/>
      <c r="HIA39" s="704"/>
      <c r="HIB39" s="704"/>
      <c r="HIC39" s="704"/>
      <c r="HID39" s="704"/>
      <c r="HIE39" s="704"/>
      <c r="HIF39" s="704"/>
      <c r="HIG39" s="704"/>
      <c r="HIH39" s="704"/>
      <c r="HII39" s="704"/>
      <c r="HIJ39" s="704"/>
      <c r="HIK39" s="704"/>
      <c r="HIL39" s="704"/>
      <c r="HIM39" s="704"/>
      <c r="HIN39" s="704"/>
      <c r="HIO39" s="704"/>
      <c r="HIP39" s="704"/>
      <c r="HIQ39" s="704"/>
      <c r="HIR39" s="704"/>
      <c r="HIS39" s="704"/>
      <c r="HIT39" s="704"/>
      <c r="HIU39" s="704"/>
      <c r="HIV39" s="704"/>
      <c r="HIW39" s="704"/>
      <c r="HIX39" s="704"/>
      <c r="HIY39" s="704"/>
      <c r="HIZ39" s="704"/>
      <c r="HJA39" s="704"/>
      <c r="HJB39" s="704"/>
      <c r="HJC39" s="704"/>
      <c r="HJD39" s="704"/>
      <c r="HJE39" s="704"/>
      <c r="HJF39" s="704"/>
      <c r="HJG39" s="704"/>
      <c r="HJH39" s="704"/>
      <c r="HJI39" s="704"/>
      <c r="HJJ39" s="704"/>
      <c r="HJK39" s="704"/>
      <c r="HJL39" s="704"/>
      <c r="HJM39" s="704"/>
      <c r="HJN39" s="704"/>
      <c r="HJO39" s="704"/>
      <c r="HJP39" s="704"/>
      <c r="HJQ39" s="704"/>
      <c r="HJR39" s="704"/>
      <c r="HJS39" s="704"/>
      <c r="HJT39" s="704"/>
      <c r="HJU39" s="704"/>
      <c r="HJV39" s="704"/>
      <c r="HJW39" s="704"/>
      <c r="HJX39" s="704"/>
      <c r="HJY39" s="704"/>
      <c r="HJZ39" s="704"/>
      <c r="HKA39" s="704"/>
      <c r="HKB39" s="704"/>
      <c r="HKC39" s="704"/>
      <c r="HKD39" s="704"/>
      <c r="HKE39" s="704"/>
      <c r="HKF39" s="704"/>
      <c r="HKG39" s="704"/>
      <c r="HKH39" s="704"/>
      <c r="HKI39" s="704"/>
      <c r="HKJ39" s="704"/>
      <c r="HKK39" s="704"/>
      <c r="HKL39" s="704"/>
      <c r="HKM39" s="704"/>
      <c r="HKN39" s="704"/>
      <c r="HKO39" s="704"/>
      <c r="HKP39" s="704"/>
      <c r="HKQ39" s="704"/>
      <c r="HKR39" s="704"/>
      <c r="HKS39" s="704"/>
      <c r="HKT39" s="704"/>
      <c r="HKU39" s="704"/>
      <c r="HKV39" s="704"/>
      <c r="HKW39" s="704"/>
      <c r="HKX39" s="704"/>
      <c r="HKY39" s="704"/>
      <c r="HKZ39" s="704"/>
      <c r="HLA39" s="704"/>
      <c r="HLB39" s="704"/>
      <c r="HLC39" s="704"/>
      <c r="HLD39" s="704"/>
      <c r="HLE39" s="704"/>
      <c r="HLF39" s="704"/>
      <c r="HLG39" s="704"/>
      <c r="HLH39" s="704"/>
      <c r="HLI39" s="704"/>
      <c r="HLJ39" s="704"/>
      <c r="HLK39" s="704"/>
      <c r="HLL39" s="704"/>
      <c r="HLM39" s="704"/>
      <c r="HLN39" s="704"/>
      <c r="HLO39" s="704"/>
      <c r="HLP39" s="704"/>
      <c r="HLQ39" s="704"/>
      <c r="HLR39" s="704"/>
      <c r="HLS39" s="704"/>
      <c r="HLT39" s="704"/>
      <c r="HLU39" s="704"/>
      <c r="HLV39" s="704"/>
      <c r="HLW39" s="704"/>
      <c r="HLX39" s="704"/>
      <c r="HLY39" s="704"/>
      <c r="HLZ39" s="704"/>
      <c r="HMA39" s="704"/>
      <c r="HMB39" s="704"/>
      <c r="HMC39" s="704"/>
      <c r="HMD39" s="704"/>
      <c r="HME39" s="704"/>
      <c r="HMF39" s="704"/>
      <c r="HMG39" s="704"/>
      <c r="HMH39" s="704"/>
      <c r="HMI39" s="704"/>
      <c r="HMJ39" s="704"/>
      <c r="HMK39" s="704"/>
      <c r="HML39" s="704"/>
      <c r="HMM39" s="704"/>
      <c r="HMN39" s="704"/>
      <c r="HMO39" s="704"/>
      <c r="HMP39" s="704"/>
      <c r="HMQ39" s="704"/>
      <c r="HMR39" s="704"/>
      <c r="HMS39" s="704"/>
      <c r="HMT39" s="704"/>
      <c r="HMU39" s="704"/>
      <c r="HMV39" s="704"/>
      <c r="HMW39" s="704"/>
      <c r="HMX39" s="704"/>
      <c r="HMY39" s="704"/>
      <c r="HMZ39" s="704"/>
      <c r="HNA39" s="704"/>
      <c r="HNB39" s="704"/>
      <c r="HNC39" s="704"/>
      <c r="HND39" s="704"/>
      <c r="HNE39" s="704"/>
      <c r="HNF39" s="704"/>
      <c r="HNG39" s="704"/>
      <c r="HNH39" s="704"/>
      <c r="HNI39" s="704"/>
      <c r="HNJ39" s="704"/>
      <c r="HNK39" s="704"/>
      <c r="HNL39" s="704"/>
      <c r="HNM39" s="704"/>
      <c r="HNN39" s="704"/>
      <c r="HNO39" s="704"/>
      <c r="HNP39" s="704"/>
      <c r="HNQ39" s="704"/>
      <c r="HNR39" s="704"/>
      <c r="HNS39" s="704"/>
      <c r="HNT39" s="704"/>
      <c r="HNU39" s="704"/>
      <c r="HNV39" s="704"/>
      <c r="HNW39" s="704"/>
      <c r="HNX39" s="704"/>
      <c r="HNY39" s="704"/>
      <c r="HNZ39" s="704"/>
      <c r="HOA39" s="704"/>
      <c r="HOB39" s="704"/>
      <c r="HOC39" s="704"/>
      <c r="HOD39" s="704"/>
      <c r="HOE39" s="704"/>
      <c r="HOF39" s="704"/>
      <c r="HOG39" s="704"/>
      <c r="HOH39" s="704"/>
      <c r="HOI39" s="704"/>
      <c r="HOJ39" s="704"/>
      <c r="HOK39" s="704"/>
      <c r="HOL39" s="704"/>
      <c r="HOM39" s="704"/>
      <c r="HON39" s="704"/>
      <c r="HOO39" s="704"/>
      <c r="HOP39" s="704"/>
      <c r="HOQ39" s="704"/>
      <c r="HOR39" s="704"/>
      <c r="HOS39" s="704"/>
      <c r="HOT39" s="704"/>
      <c r="HOU39" s="704"/>
      <c r="HOV39" s="704"/>
      <c r="HOW39" s="704"/>
      <c r="HOX39" s="704"/>
      <c r="HOY39" s="704"/>
      <c r="HOZ39" s="704"/>
      <c r="HPA39" s="704"/>
      <c r="HPB39" s="704"/>
      <c r="HPC39" s="704"/>
      <c r="HPD39" s="704"/>
      <c r="HPE39" s="704"/>
      <c r="HPF39" s="704"/>
      <c r="HPG39" s="704"/>
      <c r="HPH39" s="704"/>
      <c r="HPI39" s="704"/>
      <c r="HPJ39" s="704"/>
      <c r="HPK39" s="704"/>
      <c r="HPL39" s="704"/>
      <c r="HPM39" s="704"/>
      <c r="HPN39" s="704"/>
      <c r="HPO39" s="704"/>
      <c r="HPP39" s="704"/>
      <c r="HPQ39" s="704"/>
      <c r="HPR39" s="704"/>
      <c r="HPS39" s="704"/>
      <c r="HPT39" s="704"/>
      <c r="HPU39" s="704"/>
      <c r="HPV39" s="704"/>
      <c r="HPW39" s="704"/>
      <c r="HPX39" s="704"/>
      <c r="HPY39" s="704"/>
      <c r="HPZ39" s="704"/>
      <c r="HQA39" s="704"/>
      <c r="HQB39" s="704"/>
      <c r="HQC39" s="704"/>
      <c r="HQD39" s="704"/>
      <c r="HQE39" s="704"/>
      <c r="HQF39" s="704"/>
      <c r="HQG39" s="704"/>
      <c r="HQH39" s="704"/>
      <c r="HQI39" s="704"/>
      <c r="HQJ39" s="704"/>
      <c r="HQK39" s="704"/>
      <c r="HQL39" s="704"/>
      <c r="HQM39" s="704"/>
      <c r="HQN39" s="704"/>
      <c r="HQO39" s="704"/>
      <c r="HQP39" s="704"/>
      <c r="HQQ39" s="704"/>
      <c r="HQR39" s="704"/>
      <c r="HQS39" s="704"/>
      <c r="HQT39" s="704"/>
      <c r="HQU39" s="704"/>
      <c r="HQV39" s="704"/>
      <c r="HQW39" s="704"/>
      <c r="HQX39" s="704"/>
      <c r="HQY39" s="704"/>
      <c r="HQZ39" s="704"/>
      <c r="HRA39" s="704"/>
      <c r="HRB39" s="704"/>
      <c r="HRC39" s="704"/>
      <c r="HRD39" s="704"/>
      <c r="HRE39" s="704"/>
      <c r="HRF39" s="704"/>
      <c r="HRG39" s="704"/>
      <c r="HRH39" s="704"/>
      <c r="HRI39" s="704"/>
      <c r="HRJ39" s="704"/>
      <c r="HRK39" s="704"/>
      <c r="HRL39" s="704"/>
      <c r="HRM39" s="704"/>
      <c r="HRN39" s="704"/>
      <c r="HRO39" s="704"/>
      <c r="HRP39" s="704"/>
      <c r="HRQ39" s="704"/>
      <c r="HRR39" s="704"/>
      <c r="HRS39" s="704"/>
      <c r="HRT39" s="704"/>
      <c r="HRU39" s="704"/>
      <c r="HRV39" s="704"/>
      <c r="HRW39" s="704"/>
      <c r="HRX39" s="704"/>
      <c r="HRY39" s="704"/>
      <c r="HRZ39" s="704"/>
      <c r="HSA39" s="704"/>
      <c r="HSB39" s="704"/>
      <c r="HSC39" s="704"/>
      <c r="HSD39" s="704"/>
      <c r="HSE39" s="704"/>
      <c r="HSF39" s="704"/>
      <c r="HSG39" s="704"/>
      <c r="HSH39" s="704"/>
      <c r="HSI39" s="704"/>
      <c r="HSJ39" s="704"/>
      <c r="HSK39" s="704"/>
      <c r="HSL39" s="704"/>
      <c r="HSM39" s="704"/>
      <c r="HSN39" s="704"/>
      <c r="HSO39" s="704"/>
      <c r="HSP39" s="704"/>
      <c r="HSQ39" s="704"/>
      <c r="HSR39" s="704"/>
      <c r="HSS39" s="704"/>
      <c r="HST39" s="704"/>
      <c r="HSU39" s="704"/>
      <c r="HSV39" s="704"/>
      <c r="HSW39" s="704"/>
      <c r="HSX39" s="704"/>
      <c r="HSY39" s="704"/>
      <c r="HSZ39" s="704"/>
      <c r="HTA39" s="704"/>
      <c r="HTB39" s="704"/>
      <c r="HTC39" s="704"/>
      <c r="HTD39" s="704"/>
      <c r="HTE39" s="704"/>
      <c r="HTF39" s="704"/>
      <c r="HTG39" s="704"/>
      <c r="HTH39" s="704"/>
      <c r="HTI39" s="704"/>
      <c r="HTJ39" s="704"/>
      <c r="HTK39" s="704"/>
      <c r="HTL39" s="704"/>
      <c r="HTM39" s="704"/>
      <c r="HTN39" s="704"/>
      <c r="HTO39" s="704"/>
      <c r="HTP39" s="704"/>
      <c r="HTQ39" s="704"/>
      <c r="HTR39" s="704"/>
      <c r="HTS39" s="704"/>
      <c r="HTT39" s="704"/>
      <c r="HTU39" s="704"/>
      <c r="HTV39" s="704"/>
      <c r="HTW39" s="704"/>
      <c r="HTX39" s="704"/>
      <c r="HTY39" s="704"/>
      <c r="HTZ39" s="704"/>
      <c r="HUA39" s="704"/>
      <c r="HUB39" s="704"/>
      <c r="HUC39" s="704"/>
      <c r="HUD39" s="704"/>
      <c r="HUE39" s="704"/>
      <c r="HUF39" s="704"/>
      <c r="HUG39" s="704"/>
      <c r="HUH39" s="704"/>
      <c r="HUI39" s="704"/>
      <c r="HUJ39" s="704"/>
      <c r="HUK39" s="704"/>
      <c r="HUL39" s="704"/>
      <c r="HUM39" s="704"/>
      <c r="HUN39" s="704"/>
      <c r="HUO39" s="704"/>
      <c r="HUP39" s="704"/>
      <c r="HUQ39" s="704"/>
      <c r="HUR39" s="704"/>
      <c r="HUS39" s="704"/>
      <c r="HUT39" s="704"/>
      <c r="HUU39" s="704"/>
      <c r="HUV39" s="704"/>
      <c r="HUW39" s="704"/>
      <c r="HUX39" s="704"/>
      <c r="HUY39" s="704"/>
      <c r="HUZ39" s="704"/>
      <c r="HVA39" s="704"/>
      <c r="HVB39" s="704"/>
      <c r="HVC39" s="704"/>
      <c r="HVD39" s="704"/>
      <c r="HVE39" s="704"/>
      <c r="HVF39" s="704"/>
      <c r="HVG39" s="704"/>
      <c r="HVH39" s="704"/>
      <c r="HVI39" s="704"/>
      <c r="HVJ39" s="704"/>
      <c r="HVK39" s="704"/>
      <c r="HVL39" s="704"/>
      <c r="HVM39" s="704"/>
      <c r="HVN39" s="704"/>
      <c r="HVO39" s="704"/>
      <c r="HVP39" s="704"/>
      <c r="HVQ39" s="704"/>
      <c r="HVR39" s="704"/>
      <c r="HVS39" s="704"/>
      <c r="HVT39" s="704"/>
      <c r="HVU39" s="704"/>
      <c r="HVV39" s="704"/>
      <c r="HVW39" s="704"/>
      <c r="HVX39" s="704"/>
      <c r="HVY39" s="704"/>
      <c r="HVZ39" s="704"/>
      <c r="HWA39" s="704"/>
      <c r="HWB39" s="704"/>
      <c r="HWC39" s="704"/>
      <c r="HWD39" s="704"/>
      <c r="HWE39" s="704"/>
      <c r="HWF39" s="704"/>
      <c r="HWG39" s="704"/>
      <c r="HWH39" s="704"/>
      <c r="HWI39" s="704"/>
      <c r="HWJ39" s="704"/>
      <c r="HWK39" s="704"/>
      <c r="HWL39" s="704"/>
      <c r="HWM39" s="704"/>
      <c r="HWN39" s="704"/>
      <c r="HWO39" s="704"/>
      <c r="HWP39" s="704"/>
      <c r="HWQ39" s="704"/>
      <c r="HWR39" s="704"/>
      <c r="HWS39" s="704"/>
      <c r="HWT39" s="704"/>
      <c r="HWU39" s="704"/>
      <c r="HWV39" s="704"/>
      <c r="HWW39" s="704"/>
      <c r="HWX39" s="704"/>
      <c r="HWY39" s="704"/>
      <c r="HWZ39" s="704"/>
      <c r="HXA39" s="704"/>
      <c r="HXB39" s="704"/>
      <c r="HXC39" s="704"/>
      <c r="HXD39" s="704"/>
      <c r="HXE39" s="704"/>
      <c r="HXF39" s="704"/>
      <c r="HXG39" s="704"/>
      <c r="HXH39" s="704"/>
      <c r="HXI39" s="704"/>
      <c r="HXJ39" s="704"/>
      <c r="HXK39" s="704"/>
      <c r="HXL39" s="704"/>
      <c r="HXM39" s="704"/>
      <c r="HXN39" s="704"/>
      <c r="HXO39" s="704"/>
      <c r="HXP39" s="704"/>
      <c r="HXQ39" s="704"/>
      <c r="HXR39" s="704"/>
      <c r="HXS39" s="704"/>
      <c r="HXT39" s="704"/>
      <c r="HXU39" s="704"/>
      <c r="HXV39" s="704"/>
      <c r="HXW39" s="704"/>
      <c r="HXX39" s="704"/>
      <c r="HXY39" s="704"/>
      <c r="HXZ39" s="704"/>
      <c r="HYA39" s="704"/>
      <c r="HYB39" s="704"/>
      <c r="HYC39" s="704"/>
      <c r="HYD39" s="704"/>
      <c r="HYE39" s="704"/>
      <c r="HYF39" s="704"/>
      <c r="HYG39" s="704"/>
      <c r="HYH39" s="704"/>
      <c r="HYI39" s="704"/>
      <c r="HYJ39" s="704"/>
      <c r="HYK39" s="704"/>
      <c r="HYL39" s="704"/>
      <c r="HYM39" s="704"/>
      <c r="HYN39" s="704"/>
      <c r="HYO39" s="704"/>
      <c r="HYP39" s="704"/>
      <c r="HYQ39" s="704"/>
      <c r="HYR39" s="704"/>
      <c r="HYS39" s="704"/>
      <c r="HYT39" s="704"/>
      <c r="HYU39" s="704"/>
      <c r="HYV39" s="704"/>
      <c r="HYW39" s="704"/>
      <c r="HYX39" s="704"/>
      <c r="HYY39" s="704"/>
      <c r="HYZ39" s="704"/>
      <c r="HZA39" s="704"/>
      <c r="HZB39" s="704"/>
      <c r="HZC39" s="704"/>
      <c r="HZD39" s="704"/>
      <c r="HZE39" s="704"/>
      <c r="HZF39" s="704"/>
      <c r="HZG39" s="704"/>
      <c r="HZH39" s="704"/>
      <c r="HZI39" s="704"/>
      <c r="HZJ39" s="704"/>
      <c r="HZK39" s="704"/>
      <c r="HZL39" s="704"/>
      <c r="HZM39" s="704"/>
      <c r="HZN39" s="704"/>
      <c r="HZO39" s="704"/>
      <c r="HZP39" s="704"/>
      <c r="HZQ39" s="704"/>
      <c r="HZR39" s="704"/>
      <c r="HZS39" s="704"/>
      <c r="HZT39" s="704"/>
      <c r="HZU39" s="704"/>
      <c r="HZV39" s="704"/>
      <c r="HZW39" s="704"/>
      <c r="HZX39" s="704"/>
      <c r="HZY39" s="704"/>
      <c r="HZZ39" s="704"/>
      <c r="IAA39" s="704"/>
      <c r="IAB39" s="704"/>
      <c r="IAC39" s="704"/>
      <c r="IAD39" s="704"/>
      <c r="IAE39" s="704"/>
      <c r="IAF39" s="704"/>
      <c r="IAG39" s="704"/>
      <c r="IAH39" s="704"/>
      <c r="IAI39" s="704"/>
      <c r="IAJ39" s="704"/>
      <c r="IAK39" s="704"/>
      <c r="IAL39" s="704"/>
      <c r="IAM39" s="704"/>
      <c r="IAN39" s="704"/>
      <c r="IAO39" s="704"/>
      <c r="IAP39" s="704"/>
      <c r="IAQ39" s="704"/>
      <c r="IAR39" s="704"/>
      <c r="IAS39" s="704"/>
      <c r="IAT39" s="704"/>
      <c r="IAU39" s="704"/>
      <c r="IAV39" s="704"/>
      <c r="IAW39" s="704"/>
      <c r="IAX39" s="704"/>
      <c r="IAY39" s="704"/>
      <c r="IAZ39" s="704"/>
      <c r="IBA39" s="704"/>
      <c r="IBB39" s="704"/>
      <c r="IBC39" s="704"/>
      <c r="IBD39" s="704"/>
      <c r="IBE39" s="704"/>
      <c r="IBF39" s="704"/>
      <c r="IBG39" s="704"/>
      <c r="IBH39" s="704"/>
      <c r="IBI39" s="704"/>
      <c r="IBJ39" s="704"/>
      <c r="IBK39" s="704"/>
      <c r="IBL39" s="704"/>
      <c r="IBM39" s="704"/>
      <c r="IBN39" s="704"/>
      <c r="IBO39" s="704"/>
      <c r="IBP39" s="704"/>
      <c r="IBQ39" s="704"/>
      <c r="IBR39" s="704"/>
      <c r="IBS39" s="704"/>
      <c r="IBT39" s="704"/>
      <c r="IBU39" s="704"/>
      <c r="IBV39" s="704"/>
      <c r="IBW39" s="704"/>
      <c r="IBX39" s="704"/>
      <c r="IBY39" s="704"/>
      <c r="IBZ39" s="704"/>
      <c r="ICA39" s="704"/>
      <c r="ICB39" s="704"/>
      <c r="ICC39" s="704"/>
      <c r="ICD39" s="704"/>
      <c r="ICE39" s="704"/>
      <c r="ICF39" s="704"/>
      <c r="ICG39" s="704"/>
      <c r="ICH39" s="704"/>
      <c r="ICI39" s="704"/>
      <c r="ICJ39" s="704"/>
      <c r="ICK39" s="704"/>
      <c r="ICL39" s="704"/>
      <c r="ICM39" s="704"/>
      <c r="ICN39" s="704"/>
      <c r="ICO39" s="704"/>
      <c r="ICP39" s="704"/>
      <c r="ICQ39" s="704"/>
      <c r="ICR39" s="704"/>
      <c r="ICS39" s="704"/>
      <c r="ICT39" s="704"/>
      <c r="ICU39" s="704"/>
      <c r="ICV39" s="704"/>
      <c r="ICW39" s="704"/>
      <c r="ICX39" s="704"/>
      <c r="ICY39" s="704"/>
      <c r="ICZ39" s="704"/>
      <c r="IDA39" s="704"/>
      <c r="IDB39" s="704"/>
      <c r="IDC39" s="704"/>
      <c r="IDD39" s="704"/>
      <c r="IDE39" s="704"/>
      <c r="IDF39" s="704"/>
      <c r="IDG39" s="704"/>
      <c r="IDH39" s="704"/>
      <c r="IDI39" s="704"/>
      <c r="IDJ39" s="704"/>
      <c r="IDK39" s="704"/>
      <c r="IDL39" s="704"/>
      <c r="IDM39" s="704"/>
      <c r="IDN39" s="704"/>
      <c r="IDO39" s="704"/>
      <c r="IDP39" s="704"/>
      <c r="IDQ39" s="704"/>
      <c r="IDR39" s="704"/>
      <c r="IDS39" s="704"/>
      <c r="IDT39" s="704"/>
      <c r="IDU39" s="704"/>
      <c r="IDV39" s="704"/>
      <c r="IDW39" s="704"/>
      <c r="IDX39" s="704"/>
      <c r="IDY39" s="704"/>
      <c r="IDZ39" s="704"/>
      <c r="IEA39" s="704"/>
      <c r="IEB39" s="704"/>
      <c r="IEC39" s="704"/>
      <c r="IED39" s="704"/>
      <c r="IEE39" s="704"/>
      <c r="IEF39" s="704"/>
      <c r="IEG39" s="704"/>
      <c r="IEH39" s="704"/>
      <c r="IEI39" s="704"/>
      <c r="IEJ39" s="704"/>
      <c r="IEK39" s="704"/>
      <c r="IEL39" s="704"/>
      <c r="IEM39" s="704"/>
      <c r="IEN39" s="704"/>
      <c r="IEO39" s="704"/>
      <c r="IEP39" s="704"/>
      <c r="IEQ39" s="704"/>
      <c r="IER39" s="704"/>
      <c r="IES39" s="704"/>
      <c r="IET39" s="704"/>
      <c r="IEU39" s="704"/>
      <c r="IEV39" s="704"/>
      <c r="IEW39" s="704"/>
      <c r="IEX39" s="704"/>
      <c r="IEY39" s="704"/>
      <c r="IEZ39" s="704"/>
      <c r="IFA39" s="704"/>
      <c r="IFB39" s="704"/>
      <c r="IFC39" s="704"/>
      <c r="IFD39" s="704"/>
      <c r="IFE39" s="704"/>
      <c r="IFF39" s="704"/>
      <c r="IFG39" s="704"/>
      <c r="IFH39" s="704"/>
      <c r="IFI39" s="704"/>
      <c r="IFJ39" s="704"/>
      <c r="IFK39" s="704"/>
      <c r="IFL39" s="704"/>
      <c r="IFM39" s="704"/>
      <c r="IFN39" s="704"/>
      <c r="IFO39" s="704"/>
      <c r="IFP39" s="704"/>
      <c r="IFQ39" s="704"/>
      <c r="IFR39" s="704"/>
      <c r="IFS39" s="704"/>
      <c r="IFT39" s="704"/>
      <c r="IFU39" s="704"/>
      <c r="IFV39" s="704"/>
      <c r="IFW39" s="704"/>
      <c r="IFX39" s="704"/>
      <c r="IFY39" s="704"/>
      <c r="IFZ39" s="704"/>
      <c r="IGA39" s="704"/>
      <c r="IGB39" s="704"/>
      <c r="IGC39" s="704"/>
      <c r="IGD39" s="704"/>
      <c r="IGE39" s="704"/>
      <c r="IGF39" s="704"/>
      <c r="IGG39" s="704"/>
      <c r="IGH39" s="704"/>
      <c r="IGI39" s="704"/>
      <c r="IGJ39" s="704"/>
      <c r="IGK39" s="704"/>
      <c r="IGL39" s="704"/>
      <c r="IGM39" s="704"/>
      <c r="IGN39" s="704"/>
      <c r="IGO39" s="704"/>
      <c r="IGP39" s="704"/>
      <c r="IGQ39" s="704"/>
      <c r="IGR39" s="704"/>
      <c r="IGS39" s="704"/>
      <c r="IGT39" s="704"/>
      <c r="IGU39" s="704"/>
      <c r="IGV39" s="704"/>
      <c r="IGW39" s="704"/>
      <c r="IGX39" s="704"/>
      <c r="IGY39" s="704"/>
      <c r="IGZ39" s="704"/>
      <c r="IHA39" s="704"/>
      <c r="IHB39" s="704"/>
      <c r="IHC39" s="704"/>
      <c r="IHD39" s="704"/>
      <c r="IHE39" s="704"/>
      <c r="IHF39" s="704"/>
      <c r="IHG39" s="704"/>
      <c r="IHH39" s="704"/>
      <c r="IHI39" s="704"/>
      <c r="IHJ39" s="704"/>
      <c r="IHK39" s="704"/>
      <c r="IHL39" s="704"/>
      <c r="IHM39" s="704"/>
      <c r="IHN39" s="704"/>
      <c r="IHO39" s="704"/>
      <c r="IHP39" s="704"/>
      <c r="IHQ39" s="704"/>
      <c r="IHR39" s="704"/>
      <c r="IHS39" s="704"/>
      <c r="IHT39" s="704"/>
      <c r="IHU39" s="704"/>
      <c r="IHV39" s="704"/>
      <c r="IHW39" s="704"/>
      <c r="IHX39" s="704"/>
      <c r="IHY39" s="704"/>
      <c r="IHZ39" s="704"/>
      <c r="IIA39" s="704"/>
      <c r="IIB39" s="704"/>
      <c r="IIC39" s="704"/>
      <c r="IID39" s="704"/>
      <c r="IIE39" s="704"/>
      <c r="IIF39" s="704"/>
      <c r="IIG39" s="704"/>
      <c r="IIH39" s="704"/>
      <c r="III39" s="704"/>
      <c r="IIJ39" s="704"/>
      <c r="IIK39" s="704"/>
      <c r="IIL39" s="704"/>
      <c r="IIM39" s="704"/>
      <c r="IIN39" s="704"/>
      <c r="IIO39" s="704"/>
      <c r="IIP39" s="704"/>
      <c r="IIQ39" s="704"/>
      <c r="IIR39" s="704"/>
      <c r="IIS39" s="704"/>
      <c r="IIT39" s="704"/>
      <c r="IIU39" s="704"/>
      <c r="IIV39" s="704"/>
      <c r="IIW39" s="704"/>
      <c r="IIX39" s="704"/>
      <c r="IIY39" s="704"/>
      <c r="IIZ39" s="704"/>
      <c r="IJA39" s="704"/>
      <c r="IJB39" s="704"/>
      <c r="IJC39" s="704"/>
      <c r="IJD39" s="704"/>
      <c r="IJE39" s="704"/>
      <c r="IJF39" s="704"/>
      <c r="IJG39" s="704"/>
      <c r="IJH39" s="704"/>
      <c r="IJI39" s="704"/>
      <c r="IJJ39" s="704"/>
      <c r="IJK39" s="704"/>
      <c r="IJL39" s="704"/>
      <c r="IJM39" s="704"/>
      <c r="IJN39" s="704"/>
      <c r="IJO39" s="704"/>
      <c r="IJP39" s="704"/>
      <c r="IJQ39" s="704"/>
      <c r="IJR39" s="704"/>
      <c r="IJS39" s="704"/>
      <c r="IJT39" s="704"/>
      <c r="IJU39" s="704"/>
      <c r="IJV39" s="704"/>
      <c r="IJW39" s="704"/>
      <c r="IJX39" s="704"/>
      <c r="IJY39" s="704"/>
      <c r="IJZ39" s="704"/>
      <c r="IKA39" s="704"/>
      <c r="IKB39" s="704"/>
      <c r="IKC39" s="704"/>
      <c r="IKD39" s="704"/>
      <c r="IKE39" s="704"/>
      <c r="IKF39" s="704"/>
      <c r="IKG39" s="704"/>
      <c r="IKH39" s="704"/>
      <c r="IKI39" s="704"/>
      <c r="IKJ39" s="704"/>
      <c r="IKK39" s="704"/>
      <c r="IKL39" s="704"/>
      <c r="IKM39" s="704"/>
      <c r="IKN39" s="704"/>
      <c r="IKO39" s="704"/>
      <c r="IKP39" s="704"/>
      <c r="IKQ39" s="704"/>
      <c r="IKR39" s="704"/>
      <c r="IKS39" s="704"/>
      <c r="IKT39" s="704"/>
      <c r="IKU39" s="704"/>
      <c r="IKV39" s="704"/>
      <c r="IKW39" s="704"/>
      <c r="IKX39" s="704"/>
      <c r="IKY39" s="704"/>
      <c r="IKZ39" s="704"/>
      <c r="ILA39" s="704"/>
      <c r="ILB39" s="704"/>
      <c r="ILC39" s="704"/>
      <c r="ILD39" s="704"/>
      <c r="ILE39" s="704"/>
      <c r="ILF39" s="704"/>
      <c r="ILG39" s="704"/>
      <c r="ILH39" s="704"/>
      <c r="ILI39" s="704"/>
      <c r="ILJ39" s="704"/>
      <c r="ILK39" s="704"/>
      <c r="ILL39" s="704"/>
      <c r="ILM39" s="704"/>
      <c r="ILN39" s="704"/>
      <c r="ILO39" s="704"/>
      <c r="ILP39" s="704"/>
      <c r="ILQ39" s="704"/>
      <c r="ILR39" s="704"/>
      <c r="ILS39" s="704"/>
      <c r="ILT39" s="704"/>
      <c r="ILU39" s="704"/>
      <c r="ILV39" s="704"/>
      <c r="ILW39" s="704"/>
      <c r="ILX39" s="704"/>
      <c r="ILY39" s="704"/>
      <c r="ILZ39" s="704"/>
      <c r="IMA39" s="704"/>
      <c r="IMB39" s="704"/>
      <c r="IMC39" s="704"/>
      <c r="IMD39" s="704"/>
      <c r="IME39" s="704"/>
      <c r="IMF39" s="704"/>
      <c r="IMG39" s="704"/>
      <c r="IMH39" s="704"/>
      <c r="IMI39" s="704"/>
      <c r="IMJ39" s="704"/>
      <c r="IMK39" s="704"/>
      <c r="IML39" s="704"/>
      <c r="IMM39" s="704"/>
      <c r="IMN39" s="704"/>
      <c r="IMO39" s="704"/>
      <c r="IMP39" s="704"/>
      <c r="IMQ39" s="704"/>
      <c r="IMR39" s="704"/>
      <c r="IMS39" s="704"/>
      <c r="IMT39" s="704"/>
      <c r="IMU39" s="704"/>
      <c r="IMV39" s="704"/>
      <c r="IMW39" s="704"/>
      <c r="IMX39" s="704"/>
      <c r="IMY39" s="704"/>
      <c r="IMZ39" s="704"/>
      <c r="INA39" s="704"/>
      <c r="INB39" s="704"/>
      <c r="INC39" s="704"/>
      <c r="IND39" s="704"/>
      <c r="INE39" s="704"/>
      <c r="INF39" s="704"/>
      <c r="ING39" s="704"/>
      <c r="INH39" s="704"/>
      <c r="INI39" s="704"/>
      <c r="INJ39" s="704"/>
      <c r="INK39" s="704"/>
      <c r="INL39" s="704"/>
      <c r="INM39" s="704"/>
      <c r="INN39" s="704"/>
      <c r="INO39" s="704"/>
      <c r="INP39" s="704"/>
      <c r="INQ39" s="704"/>
      <c r="INR39" s="704"/>
      <c r="INS39" s="704"/>
      <c r="INT39" s="704"/>
      <c r="INU39" s="704"/>
      <c r="INV39" s="704"/>
      <c r="INW39" s="704"/>
      <c r="INX39" s="704"/>
      <c r="INY39" s="704"/>
      <c r="INZ39" s="704"/>
      <c r="IOA39" s="704"/>
      <c r="IOB39" s="704"/>
      <c r="IOC39" s="704"/>
      <c r="IOD39" s="704"/>
      <c r="IOE39" s="704"/>
      <c r="IOF39" s="704"/>
      <c r="IOG39" s="704"/>
      <c r="IOH39" s="704"/>
      <c r="IOI39" s="704"/>
      <c r="IOJ39" s="704"/>
      <c r="IOK39" s="704"/>
      <c r="IOL39" s="704"/>
      <c r="IOM39" s="704"/>
      <c r="ION39" s="704"/>
      <c r="IOO39" s="704"/>
      <c r="IOP39" s="704"/>
      <c r="IOQ39" s="704"/>
      <c r="IOR39" s="704"/>
      <c r="IOS39" s="704"/>
      <c r="IOT39" s="704"/>
      <c r="IOU39" s="704"/>
      <c r="IOV39" s="704"/>
      <c r="IOW39" s="704"/>
      <c r="IOX39" s="704"/>
      <c r="IOY39" s="704"/>
      <c r="IOZ39" s="704"/>
      <c r="IPA39" s="704"/>
      <c r="IPB39" s="704"/>
      <c r="IPC39" s="704"/>
      <c r="IPD39" s="704"/>
      <c r="IPE39" s="704"/>
      <c r="IPF39" s="704"/>
      <c r="IPG39" s="704"/>
      <c r="IPH39" s="704"/>
      <c r="IPI39" s="704"/>
      <c r="IPJ39" s="704"/>
      <c r="IPK39" s="704"/>
      <c r="IPL39" s="704"/>
      <c r="IPM39" s="704"/>
      <c r="IPN39" s="704"/>
      <c r="IPO39" s="704"/>
      <c r="IPP39" s="704"/>
      <c r="IPQ39" s="704"/>
      <c r="IPR39" s="704"/>
      <c r="IPS39" s="704"/>
      <c r="IPT39" s="704"/>
      <c r="IPU39" s="704"/>
      <c r="IPV39" s="704"/>
      <c r="IPW39" s="704"/>
      <c r="IPX39" s="704"/>
      <c r="IPY39" s="704"/>
      <c r="IPZ39" s="704"/>
      <c r="IQA39" s="704"/>
      <c r="IQB39" s="704"/>
      <c r="IQC39" s="704"/>
      <c r="IQD39" s="704"/>
      <c r="IQE39" s="704"/>
      <c r="IQF39" s="704"/>
      <c r="IQG39" s="704"/>
      <c r="IQH39" s="704"/>
      <c r="IQI39" s="704"/>
      <c r="IQJ39" s="704"/>
      <c r="IQK39" s="704"/>
      <c r="IQL39" s="704"/>
      <c r="IQM39" s="704"/>
      <c r="IQN39" s="704"/>
      <c r="IQO39" s="704"/>
      <c r="IQP39" s="704"/>
      <c r="IQQ39" s="704"/>
      <c r="IQR39" s="704"/>
      <c r="IQS39" s="704"/>
      <c r="IQT39" s="704"/>
      <c r="IQU39" s="704"/>
      <c r="IQV39" s="704"/>
      <c r="IQW39" s="704"/>
      <c r="IQX39" s="704"/>
      <c r="IQY39" s="704"/>
      <c r="IQZ39" s="704"/>
      <c r="IRA39" s="704"/>
      <c r="IRB39" s="704"/>
      <c r="IRC39" s="704"/>
      <c r="IRD39" s="704"/>
      <c r="IRE39" s="704"/>
      <c r="IRF39" s="704"/>
      <c r="IRG39" s="704"/>
      <c r="IRH39" s="704"/>
      <c r="IRI39" s="704"/>
      <c r="IRJ39" s="704"/>
      <c r="IRK39" s="704"/>
      <c r="IRL39" s="704"/>
      <c r="IRM39" s="704"/>
      <c r="IRN39" s="704"/>
      <c r="IRO39" s="704"/>
      <c r="IRP39" s="704"/>
      <c r="IRQ39" s="704"/>
      <c r="IRR39" s="704"/>
      <c r="IRS39" s="704"/>
      <c r="IRT39" s="704"/>
      <c r="IRU39" s="704"/>
      <c r="IRV39" s="704"/>
      <c r="IRW39" s="704"/>
      <c r="IRX39" s="704"/>
      <c r="IRY39" s="704"/>
      <c r="IRZ39" s="704"/>
      <c r="ISA39" s="704"/>
      <c r="ISB39" s="704"/>
      <c r="ISC39" s="704"/>
      <c r="ISD39" s="704"/>
      <c r="ISE39" s="704"/>
      <c r="ISF39" s="704"/>
      <c r="ISG39" s="704"/>
      <c r="ISH39" s="704"/>
      <c r="ISI39" s="704"/>
      <c r="ISJ39" s="704"/>
      <c r="ISK39" s="704"/>
      <c r="ISL39" s="704"/>
      <c r="ISM39" s="704"/>
      <c r="ISN39" s="704"/>
      <c r="ISO39" s="704"/>
      <c r="ISP39" s="704"/>
      <c r="ISQ39" s="704"/>
      <c r="ISR39" s="704"/>
      <c r="ISS39" s="704"/>
      <c r="IST39" s="704"/>
      <c r="ISU39" s="704"/>
      <c r="ISV39" s="704"/>
      <c r="ISW39" s="704"/>
      <c r="ISX39" s="704"/>
      <c r="ISY39" s="704"/>
      <c r="ISZ39" s="704"/>
      <c r="ITA39" s="704"/>
      <c r="ITB39" s="704"/>
      <c r="ITC39" s="704"/>
      <c r="ITD39" s="704"/>
      <c r="ITE39" s="704"/>
      <c r="ITF39" s="704"/>
      <c r="ITG39" s="704"/>
      <c r="ITH39" s="704"/>
      <c r="ITI39" s="704"/>
      <c r="ITJ39" s="704"/>
      <c r="ITK39" s="704"/>
      <c r="ITL39" s="704"/>
      <c r="ITM39" s="704"/>
      <c r="ITN39" s="704"/>
      <c r="ITO39" s="704"/>
      <c r="ITP39" s="704"/>
      <c r="ITQ39" s="704"/>
      <c r="ITR39" s="704"/>
      <c r="ITS39" s="704"/>
      <c r="ITT39" s="704"/>
      <c r="ITU39" s="704"/>
      <c r="ITV39" s="704"/>
      <c r="ITW39" s="704"/>
      <c r="ITX39" s="704"/>
      <c r="ITY39" s="704"/>
      <c r="ITZ39" s="704"/>
      <c r="IUA39" s="704"/>
      <c r="IUB39" s="704"/>
      <c r="IUC39" s="704"/>
      <c r="IUD39" s="704"/>
      <c r="IUE39" s="704"/>
      <c r="IUF39" s="704"/>
      <c r="IUG39" s="704"/>
      <c r="IUH39" s="704"/>
      <c r="IUI39" s="704"/>
      <c r="IUJ39" s="704"/>
      <c r="IUK39" s="704"/>
      <c r="IUL39" s="704"/>
      <c r="IUM39" s="704"/>
      <c r="IUN39" s="704"/>
      <c r="IUO39" s="704"/>
      <c r="IUP39" s="704"/>
      <c r="IUQ39" s="704"/>
      <c r="IUR39" s="704"/>
      <c r="IUS39" s="704"/>
      <c r="IUT39" s="704"/>
      <c r="IUU39" s="704"/>
      <c r="IUV39" s="704"/>
      <c r="IUW39" s="704"/>
      <c r="IUX39" s="704"/>
      <c r="IUY39" s="704"/>
      <c r="IUZ39" s="704"/>
      <c r="IVA39" s="704"/>
      <c r="IVB39" s="704"/>
      <c r="IVC39" s="704"/>
      <c r="IVD39" s="704"/>
      <c r="IVE39" s="704"/>
      <c r="IVF39" s="704"/>
      <c r="IVG39" s="704"/>
      <c r="IVH39" s="704"/>
      <c r="IVI39" s="704"/>
      <c r="IVJ39" s="704"/>
      <c r="IVK39" s="704"/>
      <c r="IVL39" s="704"/>
      <c r="IVM39" s="704"/>
      <c r="IVN39" s="704"/>
      <c r="IVO39" s="704"/>
      <c r="IVP39" s="704"/>
      <c r="IVQ39" s="704"/>
      <c r="IVR39" s="704"/>
      <c r="IVS39" s="704"/>
      <c r="IVT39" s="704"/>
      <c r="IVU39" s="704"/>
      <c r="IVV39" s="704"/>
      <c r="IVW39" s="704"/>
      <c r="IVX39" s="704"/>
      <c r="IVY39" s="704"/>
      <c r="IVZ39" s="704"/>
      <c r="IWA39" s="704"/>
      <c r="IWB39" s="704"/>
      <c r="IWC39" s="704"/>
      <c r="IWD39" s="704"/>
      <c r="IWE39" s="704"/>
      <c r="IWF39" s="704"/>
      <c r="IWG39" s="704"/>
      <c r="IWH39" s="704"/>
      <c r="IWI39" s="704"/>
      <c r="IWJ39" s="704"/>
      <c r="IWK39" s="704"/>
      <c r="IWL39" s="704"/>
      <c r="IWM39" s="704"/>
      <c r="IWN39" s="704"/>
      <c r="IWO39" s="704"/>
      <c r="IWP39" s="704"/>
      <c r="IWQ39" s="704"/>
      <c r="IWR39" s="704"/>
      <c r="IWS39" s="704"/>
      <c r="IWT39" s="704"/>
      <c r="IWU39" s="704"/>
      <c r="IWV39" s="704"/>
      <c r="IWW39" s="704"/>
      <c r="IWX39" s="704"/>
      <c r="IWY39" s="704"/>
      <c r="IWZ39" s="704"/>
      <c r="IXA39" s="704"/>
      <c r="IXB39" s="704"/>
      <c r="IXC39" s="704"/>
      <c r="IXD39" s="704"/>
      <c r="IXE39" s="704"/>
      <c r="IXF39" s="704"/>
      <c r="IXG39" s="704"/>
      <c r="IXH39" s="704"/>
      <c r="IXI39" s="704"/>
      <c r="IXJ39" s="704"/>
      <c r="IXK39" s="704"/>
      <c r="IXL39" s="704"/>
      <c r="IXM39" s="704"/>
      <c r="IXN39" s="704"/>
      <c r="IXO39" s="704"/>
      <c r="IXP39" s="704"/>
      <c r="IXQ39" s="704"/>
      <c r="IXR39" s="704"/>
      <c r="IXS39" s="704"/>
      <c r="IXT39" s="704"/>
      <c r="IXU39" s="704"/>
      <c r="IXV39" s="704"/>
      <c r="IXW39" s="704"/>
      <c r="IXX39" s="704"/>
      <c r="IXY39" s="704"/>
      <c r="IXZ39" s="704"/>
      <c r="IYA39" s="704"/>
      <c r="IYB39" s="704"/>
      <c r="IYC39" s="704"/>
      <c r="IYD39" s="704"/>
      <c r="IYE39" s="704"/>
      <c r="IYF39" s="704"/>
      <c r="IYG39" s="704"/>
      <c r="IYH39" s="704"/>
      <c r="IYI39" s="704"/>
      <c r="IYJ39" s="704"/>
      <c r="IYK39" s="704"/>
      <c r="IYL39" s="704"/>
      <c r="IYM39" s="704"/>
      <c r="IYN39" s="704"/>
      <c r="IYO39" s="704"/>
      <c r="IYP39" s="704"/>
      <c r="IYQ39" s="704"/>
      <c r="IYR39" s="704"/>
      <c r="IYS39" s="704"/>
      <c r="IYT39" s="704"/>
      <c r="IYU39" s="704"/>
      <c r="IYV39" s="704"/>
      <c r="IYW39" s="704"/>
      <c r="IYX39" s="704"/>
      <c r="IYY39" s="704"/>
      <c r="IYZ39" s="704"/>
      <c r="IZA39" s="704"/>
      <c r="IZB39" s="704"/>
      <c r="IZC39" s="704"/>
      <c r="IZD39" s="704"/>
      <c r="IZE39" s="704"/>
      <c r="IZF39" s="704"/>
      <c r="IZG39" s="704"/>
      <c r="IZH39" s="704"/>
      <c r="IZI39" s="704"/>
      <c r="IZJ39" s="704"/>
      <c r="IZK39" s="704"/>
      <c r="IZL39" s="704"/>
      <c r="IZM39" s="704"/>
      <c r="IZN39" s="704"/>
      <c r="IZO39" s="704"/>
      <c r="IZP39" s="704"/>
      <c r="IZQ39" s="704"/>
      <c r="IZR39" s="704"/>
      <c r="IZS39" s="704"/>
      <c r="IZT39" s="704"/>
      <c r="IZU39" s="704"/>
      <c r="IZV39" s="704"/>
      <c r="IZW39" s="704"/>
      <c r="IZX39" s="704"/>
      <c r="IZY39" s="704"/>
      <c r="IZZ39" s="704"/>
      <c r="JAA39" s="704"/>
      <c r="JAB39" s="704"/>
      <c r="JAC39" s="704"/>
      <c r="JAD39" s="704"/>
      <c r="JAE39" s="704"/>
      <c r="JAF39" s="704"/>
      <c r="JAG39" s="704"/>
      <c r="JAH39" s="704"/>
      <c r="JAI39" s="704"/>
      <c r="JAJ39" s="704"/>
      <c r="JAK39" s="704"/>
      <c r="JAL39" s="704"/>
      <c r="JAM39" s="704"/>
      <c r="JAN39" s="704"/>
      <c r="JAO39" s="704"/>
      <c r="JAP39" s="704"/>
      <c r="JAQ39" s="704"/>
      <c r="JAR39" s="704"/>
      <c r="JAS39" s="704"/>
      <c r="JAT39" s="704"/>
      <c r="JAU39" s="704"/>
      <c r="JAV39" s="704"/>
      <c r="JAW39" s="704"/>
      <c r="JAX39" s="704"/>
      <c r="JAY39" s="704"/>
      <c r="JAZ39" s="704"/>
      <c r="JBA39" s="704"/>
      <c r="JBB39" s="704"/>
      <c r="JBC39" s="704"/>
      <c r="JBD39" s="704"/>
      <c r="JBE39" s="704"/>
      <c r="JBF39" s="704"/>
      <c r="JBG39" s="704"/>
      <c r="JBH39" s="704"/>
      <c r="JBI39" s="704"/>
      <c r="JBJ39" s="704"/>
      <c r="JBK39" s="704"/>
      <c r="JBL39" s="704"/>
      <c r="JBM39" s="704"/>
      <c r="JBN39" s="704"/>
      <c r="JBO39" s="704"/>
      <c r="JBP39" s="704"/>
      <c r="JBQ39" s="704"/>
      <c r="JBR39" s="704"/>
      <c r="JBS39" s="704"/>
      <c r="JBT39" s="704"/>
      <c r="JBU39" s="704"/>
      <c r="JBV39" s="704"/>
      <c r="JBW39" s="704"/>
      <c r="JBX39" s="704"/>
      <c r="JBY39" s="704"/>
      <c r="JBZ39" s="704"/>
      <c r="JCA39" s="704"/>
      <c r="JCB39" s="704"/>
      <c r="JCC39" s="704"/>
      <c r="JCD39" s="704"/>
      <c r="JCE39" s="704"/>
      <c r="JCF39" s="704"/>
      <c r="JCG39" s="704"/>
      <c r="JCH39" s="704"/>
      <c r="JCI39" s="704"/>
      <c r="JCJ39" s="704"/>
      <c r="JCK39" s="704"/>
      <c r="JCL39" s="704"/>
      <c r="JCM39" s="704"/>
      <c r="JCN39" s="704"/>
      <c r="JCO39" s="704"/>
      <c r="JCP39" s="704"/>
      <c r="JCQ39" s="704"/>
      <c r="JCR39" s="704"/>
      <c r="JCS39" s="704"/>
      <c r="JCT39" s="704"/>
      <c r="JCU39" s="704"/>
      <c r="JCV39" s="704"/>
      <c r="JCW39" s="704"/>
      <c r="JCX39" s="704"/>
      <c r="JCY39" s="704"/>
      <c r="JCZ39" s="704"/>
      <c r="JDA39" s="704"/>
      <c r="JDB39" s="704"/>
      <c r="JDC39" s="704"/>
      <c r="JDD39" s="704"/>
      <c r="JDE39" s="704"/>
      <c r="JDF39" s="704"/>
      <c r="JDG39" s="704"/>
      <c r="JDH39" s="704"/>
      <c r="JDI39" s="704"/>
      <c r="JDJ39" s="704"/>
      <c r="JDK39" s="704"/>
      <c r="JDL39" s="704"/>
      <c r="JDM39" s="704"/>
      <c r="JDN39" s="704"/>
      <c r="JDO39" s="704"/>
      <c r="JDP39" s="704"/>
      <c r="JDQ39" s="704"/>
      <c r="JDR39" s="704"/>
      <c r="JDS39" s="704"/>
      <c r="JDT39" s="704"/>
      <c r="JDU39" s="704"/>
      <c r="JDV39" s="704"/>
      <c r="JDW39" s="704"/>
      <c r="JDX39" s="704"/>
      <c r="JDY39" s="704"/>
      <c r="JDZ39" s="704"/>
      <c r="JEA39" s="704"/>
      <c r="JEB39" s="704"/>
      <c r="JEC39" s="704"/>
      <c r="JED39" s="704"/>
      <c r="JEE39" s="704"/>
      <c r="JEF39" s="704"/>
      <c r="JEG39" s="704"/>
      <c r="JEH39" s="704"/>
      <c r="JEI39" s="704"/>
      <c r="JEJ39" s="704"/>
      <c r="JEK39" s="704"/>
      <c r="JEL39" s="704"/>
      <c r="JEM39" s="704"/>
      <c r="JEN39" s="704"/>
      <c r="JEO39" s="704"/>
      <c r="JEP39" s="704"/>
      <c r="JEQ39" s="704"/>
      <c r="JER39" s="704"/>
      <c r="JES39" s="704"/>
      <c r="JET39" s="704"/>
      <c r="JEU39" s="704"/>
      <c r="JEV39" s="704"/>
      <c r="JEW39" s="704"/>
      <c r="JEX39" s="704"/>
      <c r="JEY39" s="704"/>
      <c r="JEZ39" s="704"/>
      <c r="JFA39" s="704"/>
      <c r="JFB39" s="704"/>
      <c r="JFC39" s="704"/>
      <c r="JFD39" s="704"/>
      <c r="JFE39" s="704"/>
      <c r="JFF39" s="704"/>
      <c r="JFG39" s="704"/>
      <c r="JFH39" s="704"/>
      <c r="JFI39" s="704"/>
      <c r="JFJ39" s="704"/>
      <c r="JFK39" s="704"/>
      <c r="JFL39" s="704"/>
      <c r="JFM39" s="704"/>
      <c r="JFN39" s="704"/>
      <c r="JFO39" s="704"/>
      <c r="JFP39" s="704"/>
      <c r="JFQ39" s="704"/>
      <c r="JFR39" s="704"/>
      <c r="JFS39" s="704"/>
      <c r="JFT39" s="704"/>
      <c r="JFU39" s="704"/>
      <c r="JFV39" s="704"/>
      <c r="JFW39" s="704"/>
      <c r="JFX39" s="704"/>
      <c r="JFY39" s="704"/>
      <c r="JFZ39" s="704"/>
      <c r="JGA39" s="704"/>
      <c r="JGB39" s="704"/>
      <c r="JGC39" s="704"/>
      <c r="JGD39" s="704"/>
      <c r="JGE39" s="704"/>
      <c r="JGF39" s="704"/>
      <c r="JGG39" s="704"/>
      <c r="JGH39" s="704"/>
      <c r="JGI39" s="704"/>
      <c r="JGJ39" s="704"/>
      <c r="JGK39" s="704"/>
      <c r="JGL39" s="704"/>
      <c r="JGM39" s="704"/>
      <c r="JGN39" s="704"/>
      <c r="JGO39" s="704"/>
      <c r="JGP39" s="704"/>
      <c r="JGQ39" s="704"/>
      <c r="JGR39" s="704"/>
      <c r="JGS39" s="704"/>
      <c r="JGT39" s="704"/>
      <c r="JGU39" s="704"/>
      <c r="JGV39" s="704"/>
      <c r="JGW39" s="704"/>
      <c r="JGX39" s="704"/>
      <c r="JGY39" s="704"/>
      <c r="JGZ39" s="704"/>
      <c r="JHA39" s="704"/>
      <c r="JHB39" s="704"/>
      <c r="JHC39" s="704"/>
      <c r="JHD39" s="704"/>
      <c r="JHE39" s="704"/>
      <c r="JHF39" s="704"/>
      <c r="JHG39" s="704"/>
      <c r="JHH39" s="704"/>
      <c r="JHI39" s="704"/>
      <c r="JHJ39" s="704"/>
      <c r="JHK39" s="704"/>
      <c r="JHL39" s="704"/>
      <c r="JHM39" s="704"/>
      <c r="JHN39" s="704"/>
      <c r="JHO39" s="704"/>
      <c r="JHP39" s="704"/>
      <c r="JHQ39" s="704"/>
      <c r="JHR39" s="704"/>
      <c r="JHS39" s="704"/>
      <c r="JHT39" s="704"/>
      <c r="JHU39" s="704"/>
      <c r="JHV39" s="704"/>
      <c r="JHW39" s="704"/>
      <c r="JHX39" s="704"/>
      <c r="JHY39" s="704"/>
      <c r="JHZ39" s="704"/>
      <c r="JIA39" s="704"/>
      <c r="JIB39" s="704"/>
      <c r="JIC39" s="704"/>
      <c r="JID39" s="704"/>
      <c r="JIE39" s="704"/>
      <c r="JIF39" s="704"/>
      <c r="JIG39" s="704"/>
      <c r="JIH39" s="704"/>
      <c r="JII39" s="704"/>
      <c r="JIJ39" s="704"/>
      <c r="JIK39" s="704"/>
      <c r="JIL39" s="704"/>
      <c r="JIM39" s="704"/>
      <c r="JIN39" s="704"/>
      <c r="JIO39" s="704"/>
      <c r="JIP39" s="704"/>
      <c r="JIQ39" s="704"/>
      <c r="JIR39" s="704"/>
      <c r="JIS39" s="704"/>
      <c r="JIT39" s="704"/>
      <c r="JIU39" s="704"/>
      <c r="JIV39" s="704"/>
      <c r="JIW39" s="704"/>
      <c r="JIX39" s="704"/>
      <c r="JIY39" s="704"/>
      <c r="JIZ39" s="704"/>
      <c r="JJA39" s="704"/>
      <c r="JJB39" s="704"/>
      <c r="JJC39" s="704"/>
      <c r="JJD39" s="704"/>
      <c r="JJE39" s="704"/>
      <c r="JJF39" s="704"/>
      <c r="JJG39" s="704"/>
      <c r="JJH39" s="704"/>
      <c r="JJI39" s="704"/>
      <c r="JJJ39" s="704"/>
      <c r="JJK39" s="704"/>
      <c r="JJL39" s="704"/>
      <c r="JJM39" s="704"/>
      <c r="JJN39" s="704"/>
      <c r="JJO39" s="704"/>
      <c r="JJP39" s="704"/>
      <c r="JJQ39" s="704"/>
      <c r="JJR39" s="704"/>
      <c r="JJS39" s="704"/>
      <c r="JJT39" s="704"/>
      <c r="JJU39" s="704"/>
      <c r="JJV39" s="704"/>
      <c r="JJW39" s="704"/>
      <c r="JJX39" s="704"/>
      <c r="JJY39" s="704"/>
      <c r="JJZ39" s="704"/>
      <c r="JKA39" s="704"/>
      <c r="JKB39" s="704"/>
      <c r="JKC39" s="704"/>
      <c r="JKD39" s="704"/>
      <c r="JKE39" s="704"/>
      <c r="JKF39" s="704"/>
      <c r="JKG39" s="704"/>
      <c r="JKH39" s="704"/>
      <c r="JKI39" s="704"/>
      <c r="JKJ39" s="704"/>
      <c r="JKK39" s="704"/>
      <c r="JKL39" s="704"/>
      <c r="JKM39" s="704"/>
      <c r="JKN39" s="704"/>
      <c r="JKO39" s="704"/>
      <c r="JKP39" s="704"/>
      <c r="JKQ39" s="704"/>
      <c r="JKR39" s="704"/>
      <c r="JKS39" s="704"/>
      <c r="JKT39" s="704"/>
      <c r="JKU39" s="704"/>
      <c r="JKV39" s="704"/>
      <c r="JKW39" s="704"/>
      <c r="JKX39" s="704"/>
      <c r="JKY39" s="704"/>
      <c r="JKZ39" s="704"/>
      <c r="JLA39" s="704"/>
      <c r="JLB39" s="704"/>
      <c r="JLC39" s="704"/>
      <c r="JLD39" s="704"/>
      <c r="JLE39" s="704"/>
      <c r="JLF39" s="704"/>
      <c r="JLG39" s="704"/>
      <c r="JLH39" s="704"/>
      <c r="JLI39" s="704"/>
      <c r="JLJ39" s="704"/>
      <c r="JLK39" s="704"/>
      <c r="JLL39" s="704"/>
      <c r="JLM39" s="704"/>
      <c r="JLN39" s="704"/>
      <c r="JLO39" s="704"/>
      <c r="JLP39" s="704"/>
      <c r="JLQ39" s="704"/>
      <c r="JLR39" s="704"/>
      <c r="JLS39" s="704"/>
      <c r="JLT39" s="704"/>
      <c r="JLU39" s="704"/>
      <c r="JLV39" s="704"/>
      <c r="JLW39" s="704"/>
      <c r="JLX39" s="704"/>
      <c r="JLY39" s="704"/>
      <c r="JLZ39" s="704"/>
      <c r="JMA39" s="704"/>
      <c r="JMB39" s="704"/>
      <c r="JMC39" s="704"/>
      <c r="JMD39" s="704"/>
      <c r="JME39" s="704"/>
      <c r="JMF39" s="704"/>
      <c r="JMG39" s="704"/>
      <c r="JMH39" s="704"/>
      <c r="JMI39" s="704"/>
      <c r="JMJ39" s="704"/>
      <c r="JMK39" s="704"/>
      <c r="JML39" s="704"/>
      <c r="JMM39" s="704"/>
      <c r="JMN39" s="704"/>
      <c r="JMO39" s="704"/>
      <c r="JMP39" s="704"/>
      <c r="JMQ39" s="704"/>
      <c r="JMR39" s="704"/>
      <c r="JMS39" s="704"/>
      <c r="JMT39" s="704"/>
      <c r="JMU39" s="704"/>
      <c r="JMV39" s="704"/>
      <c r="JMW39" s="704"/>
      <c r="JMX39" s="704"/>
      <c r="JMY39" s="704"/>
      <c r="JMZ39" s="704"/>
      <c r="JNA39" s="704"/>
      <c r="JNB39" s="704"/>
      <c r="JNC39" s="704"/>
      <c r="JND39" s="704"/>
      <c r="JNE39" s="704"/>
      <c r="JNF39" s="704"/>
      <c r="JNG39" s="704"/>
      <c r="JNH39" s="704"/>
      <c r="JNI39" s="704"/>
      <c r="JNJ39" s="704"/>
      <c r="JNK39" s="704"/>
      <c r="JNL39" s="704"/>
      <c r="JNM39" s="704"/>
      <c r="JNN39" s="704"/>
      <c r="JNO39" s="704"/>
      <c r="JNP39" s="704"/>
      <c r="JNQ39" s="704"/>
      <c r="JNR39" s="704"/>
      <c r="JNS39" s="704"/>
      <c r="JNT39" s="704"/>
      <c r="JNU39" s="704"/>
      <c r="JNV39" s="704"/>
      <c r="JNW39" s="704"/>
      <c r="JNX39" s="704"/>
      <c r="JNY39" s="704"/>
      <c r="JNZ39" s="704"/>
      <c r="JOA39" s="704"/>
      <c r="JOB39" s="704"/>
      <c r="JOC39" s="704"/>
      <c r="JOD39" s="704"/>
      <c r="JOE39" s="704"/>
      <c r="JOF39" s="704"/>
      <c r="JOG39" s="704"/>
      <c r="JOH39" s="704"/>
      <c r="JOI39" s="704"/>
      <c r="JOJ39" s="704"/>
      <c r="JOK39" s="704"/>
      <c r="JOL39" s="704"/>
      <c r="JOM39" s="704"/>
      <c r="JON39" s="704"/>
      <c r="JOO39" s="704"/>
      <c r="JOP39" s="704"/>
      <c r="JOQ39" s="704"/>
      <c r="JOR39" s="704"/>
      <c r="JOS39" s="704"/>
      <c r="JOT39" s="704"/>
      <c r="JOU39" s="704"/>
      <c r="JOV39" s="704"/>
      <c r="JOW39" s="704"/>
      <c r="JOX39" s="704"/>
      <c r="JOY39" s="704"/>
      <c r="JOZ39" s="704"/>
      <c r="JPA39" s="704"/>
      <c r="JPB39" s="704"/>
      <c r="JPC39" s="704"/>
      <c r="JPD39" s="704"/>
      <c r="JPE39" s="704"/>
      <c r="JPF39" s="704"/>
      <c r="JPG39" s="704"/>
      <c r="JPH39" s="704"/>
      <c r="JPI39" s="704"/>
      <c r="JPJ39" s="704"/>
      <c r="JPK39" s="704"/>
      <c r="JPL39" s="704"/>
      <c r="JPM39" s="704"/>
      <c r="JPN39" s="704"/>
      <c r="JPO39" s="704"/>
      <c r="JPP39" s="704"/>
      <c r="JPQ39" s="704"/>
      <c r="JPR39" s="704"/>
      <c r="JPS39" s="704"/>
      <c r="JPT39" s="704"/>
      <c r="JPU39" s="704"/>
      <c r="JPV39" s="704"/>
      <c r="JPW39" s="704"/>
      <c r="JPX39" s="704"/>
      <c r="JPY39" s="704"/>
      <c r="JPZ39" s="704"/>
      <c r="JQA39" s="704"/>
      <c r="JQB39" s="704"/>
      <c r="JQC39" s="704"/>
      <c r="JQD39" s="704"/>
      <c r="JQE39" s="704"/>
      <c r="JQF39" s="704"/>
      <c r="JQG39" s="704"/>
      <c r="JQH39" s="704"/>
      <c r="JQI39" s="704"/>
      <c r="JQJ39" s="704"/>
      <c r="JQK39" s="704"/>
      <c r="JQL39" s="704"/>
      <c r="JQM39" s="704"/>
      <c r="JQN39" s="704"/>
      <c r="JQO39" s="704"/>
      <c r="JQP39" s="704"/>
      <c r="JQQ39" s="704"/>
      <c r="JQR39" s="704"/>
      <c r="JQS39" s="704"/>
      <c r="JQT39" s="704"/>
      <c r="JQU39" s="704"/>
      <c r="JQV39" s="704"/>
      <c r="JQW39" s="704"/>
      <c r="JQX39" s="704"/>
      <c r="JQY39" s="704"/>
      <c r="JQZ39" s="704"/>
      <c r="JRA39" s="704"/>
      <c r="JRB39" s="704"/>
      <c r="JRC39" s="704"/>
      <c r="JRD39" s="704"/>
      <c r="JRE39" s="704"/>
      <c r="JRF39" s="704"/>
      <c r="JRG39" s="704"/>
      <c r="JRH39" s="704"/>
      <c r="JRI39" s="704"/>
      <c r="JRJ39" s="704"/>
      <c r="JRK39" s="704"/>
      <c r="JRL39" s="704"/>
      <c r="JRM39" s="704"/>
      <c r="JRN39" s="704"/>
      <c r="JRO39" s="704"/>
      <c r="JRP39" s="704"/>
      <c r="JRQ39" s="704"/>
      <c r="JRR39" s="704"/>
      <c r="JRS39" s="704"/>
      <c r="JRT39" s="704"/>
      <c r="JRU39" s="704"/>
      <c r="JRV39" s="704"/>
      <c r="JRW39" s="704"/>
      <c r="JRX39" s="704"/>
      <c r="JRY39" s="704"/>
      <c r="JRZ39" s="704"/>
      <c r="JSA39" s="704"/>
      <c r="JSB39" s="704"/>
      <c r="JSC39" s="704"/>
      <c r="JSD39" s="704"/>
      <c r="JSE39" s="704"/>
      <c r="JSF39" s="704"/>
      <c r="JSG39" s="704"/>
      <c r="JSH39" s="704"/>
      <c r="JSI39" s="704"/>
      <c r="JSJ39" s="704"/>
      <c r="JSK39" s="704"/>
      <c r="JSL39" s="704"/>
      <c r="JSM39" s="704"/>
      <c r="JSN39" s="704"/>
      <c r="JSO39" s="704"/>
      <c r="JSP39" s="704"/>
      <c r="JSQ39" s="704"/>
      <c r="JSR39" s="704"/>
      <c r="JSS39" s="704"/>
      <c r="JST39" s="704"/>
      <c r="JSU39" s="704"/>
      <c r="JSV39" s="704"/>
      <c r="JSW39" s="704"/>
      <c r="JSX39" s="704"/>
      <c r="JSY39" s="704"/>
      <c r="JSZ39" s="704"/>
      <c r="JTA39" s="704"/>
      <c r="JTB39" s="704"/>
      <c r="JTC39" s="704"/>
      <c r="JTD39" s="704"/>
      <c r="JTE39" s="704"/>
      <c r="JTF39" s="704"/>
      <c r="JTG39" s="704"/>
      <c r="JTH39" s="704"/>
      <c r="JTI39" s="704"/>
      <c r="JTJ39" s="704"/>
      <c r="JTK39" s="704"/>
      <c r="JTL39" s="704"/>
      <c r="JTM39" s="704"/>
      <c r="JTN39" s="704"/>
      <c r="JTO39" s="704"/>
      <c r="JTP39" s="704"/>
      <c r="JTQ39" s="704"/>
      <c r="JTR39" s="704"/>
      <c r="JTS39" s="704"/>
      <c r="JTT39" s="704"/>
      <c r="JTU39" s="704"/>
      <c r="JTV39" s="704"/>
      <c r="JTW39" s="704"/>
      <c r="JTX39" s="704"/>
      <c r="JTY39" s="704"/>
      <c r="JTZ39" s="704"/>
      <c r="JUA39" s="704"/>
      <c r="JUB39" s="704"/>
      <c r="JUC39" s="704"/>
      <c r="JUD39" s="704"/>
      <c r="JUE39" s="704"/>
      <c r="JUF39" s="704"/>
      <c r="JUG39" s="704"/>
      <c r="JUH39" s="704"/>
      <c r="JUI39" s="704"/>
      <c r="JUJ39" s="704"/>
      <c r="JUK39" s="704"/>
      <c r="JUL39" s="704"/>
      <c r="JUM39" s="704"/>
      <c r="JUN39" s="704"/>
      <c r="JUO39" s="704"/>
      <c r="JUP39" s="704"/>
      <c r="JUQ39" s="704"/>
      <c r="JUR39" s="704"/>
      <c r="JUS39" s="704"/>
      <c r="JUT39" s="704"/>
      <c r="JUU39" s="704"/>
      <c r="JUV39" s="704"/>
      <c r="JUW39" s="704"/>
      <c r="JUX39" s="704"/>
      <c r="JUY39" s="704"/>
      <c r="JUZ39" s="704"/>
      <c r="JVA39" s="704"/>
      <c r="JVB39" s="704"/>
      <c r="JVC39" s="704"/>
      <c r="JVD39" s="704"/>
      <c r="JVE39" s="704"/>
      <c r="JVF39" s="704"/>
      <c r="JVG39" s="704"/>
      <c r="JVH39" s="704"/>
      <c r="JVI39" s="704"/>
      <c r="JVJ39" s="704"/>
      <c r="JVK39" s="704"/>
      <c r="JVL39" s="704"/>
      <c r="JVM39" s="704"/>
      <c r="JVN39" s="704"/>
      <c r="JVO39" s="704"/>
      <c r="JVP39" s="704"/>
      <c r="JVQ39" s="704"/>
      <c r="JVR39" s="704"/>
      <c r="JVS39" s="704"/>
      <c r="JVT39" s="704"/>
      <c r="JVU39" s="704"/>
      <c r="JVV39" s="704"/>
      <c r="JVW39" s="704"/>
      <c r="JVX39" s="704"/>
      <c r="JVY39" s="704"/>
      <c r="JVZ39" s="704"/>
      <c r="JWA39" s="704"/>
      <c r="JWB39" s="704"/>
      <c r="JWC39" s="704"/>
      <c r="JWD39" s="704"/>
      <c r="JWE39" s="704"/>
      <c r="JWF39" s="704"/>
      <c r="JWG39" s="704"/>
      <c r="JWH39" s="704"/>
      <c r="JWI39" s="704"/>
      <c r="JWJ39" s="704"/>
      <c r="JWK39" s="704"/>
      <c r="JWL39" s="704"/>
      <c r="JWM39" s="704"/>
      <c r="JWN39" s="704"/>
      <c r="JWO39" s="704"/>
      <c r="JWP39" s="704"/>
      <c r="JWQ39" s="704"/>
      <c r="JWR39" s="704"/>
      <c r="JWS39" s="704"/>
      <c r="JWT39" s="704"/>
      <c r="JWU39" s="704"/>
      <c r="JWV39" s="704"/>
      <c r="JWW39" s="704"/>
      <c r="JWX39" s="704"/>
      <c r="JWY39" s="704"/>
      <c r="JWZ39" s="704"/>
      <c r="JXA39" s="704"/>
      <c r="JXB39" s="704"/>
      <c r="JXC39" s="704"/>
      <c r="JXD39" s="704"/>
      <c r="JXE39" s="704"/>
      <c r="JXF39" s="704"/>
      <c r="JXG39" s="704"/>
      <c r="JXH39" s="704"/>
      <c r="JXI39" s="704"/>
      <c r="JXJ39" s="704"/>
      <c r="JXK39" s="704"/>
      <c r="JXL39" s="704"/>
      <c r="JXM39" s="704"/>
      <c r="JXN39" s="704"/>
      <c r="JXO39" s="704"/>
      <c r="JXP39" s="704"/>
      <c r="JXQ39" s="704"/>
      <c r="JXR39" s="704"/>
      <c r="JXS39" s="704"/>
      <c r="JXT39" s="704"/>
      <c r="JXU39" s="704"/>
      <c r="JXV39" s="704"/>
      <c r="JXW39" s="704"/>
      <c r="JXX39" s="704"/>
      <c r="JXY39" s="704"/>
      <c r="JXZ39" s="704"/>
      <c r="JYA39" s="704"/>
      <c r="JYB39" s="704"/>
      <c r="JYC39" s="704"/>
      <c r="JYD39" s="704"/>
      <c r="JYE39" s="704"/>
      <c r="JYF39" s="704"/>
      <c r="JYG39" s="704"/>
      <c r="JYH39" s="704"/>
      <c r="JYI39" s="704"/>
      <c r="JYJ39" s="704"/>
      <c r="JYK39" s="704"/>
      <c r="JYL39" s="704"/>
      <c r="JYM39" s="704"/>
      <c r="JYN39" s="704"/>
      <c r="JYO39" s="704"/>
      <c r="JYP39" s="704"/>
      <c r="JYQ39" s="704"/>
      <c r="JYR39" s="704"/>
      <c r="JYS39" s="704"/>
      <c r="JYT39" s="704"/>
      <c r="JYU39" s="704"/>
      <c r="JYV39" s="704"/>
      <c r="JYW39" s="704"/>
      <c r="JYX39" s="704"/>
      <c r="JYY39" s="704"/>
      <c r="JYZ39" s="704"/>
      <c r="JZA39" s="704"/>
      <c r="JZB39" s="704"/>
      <c r="JZC39" s="704"/>
      <c r="JZD39" s="704"/>
      <c r="JZE39" s="704"/>
      <c r="JZF39" s="704"/>
      <c r="JZG39" s="704"/>
      <c r="JZH39" s="704"/>
      <c r="JZI39" s="704"/>
      <c r="JZJ39" s="704"/>
      <c r="JZK39" s="704"/>
      <c r="JZL39" s="704"/>
      <c r="JZM39" s="704"/>
      <c r="JZN39" s="704"/>
      <c r="JZO39" s="704"/>
      <c r="JZP39" s="704"/>
      <c r="JZQ39" s="704"/>
      <c r="JZR39" s="704"/>
      <c r="JZS39" s="704"/>
      <c r="JZT39" s="704"/>
      <c r="JZU39" s="704"/>
      <c r="JZV39" s="704"/>
      <c r="JZW39" s="704"/>
      <c r="JZX39" s="704"/>
      <c r="JZY39" s="704"/>
      <c r="JZZ39" s="704"/>
      <c r="KAA39" s="704"/>
      <c r="KAB39" s="704"/>
      <c r="KAC39" s="704"/>
      <c r="KAD39" s="704"/>
      <c r="KAE39" s="704"/>
      <c r="KAF39" s="704"/>
      <c r="KAG39" s="704"/>
      <c r="KAH39" s="704"/>
      <c r="KAI39" s="704"/>
      <c r="KAJ39" s="704"/>
      <c r="KAK39" s="704"/>
      <c r="KAL39" s="704"/>
      <c r="KAM39" s="704"/>
      <c r="KAN39" s="704"/>
      <c r="KAO39" s="704"/>
      <c r="KAP39" s="704"/>
      <c r="KAQ39" s="704"/>
      <c r="KAR39" s="704"/>
      <c r="KAS39" s="704"/>
      <c r="KAT39" s="704"/>
      <c r="KAU39" s="704"/>
      <c r="KAV39" s="704"/>
      <c r="KAW39" s="704"/>
      <c r="KAX39" s="704"/>
      <c r="KAY39" s="704"/>
      <c r="KAZ39" s="704"/>
      <c r="KBA39" s="704"/>
      <c r="KBB39" s="704"/>
      <c r="KBC39" s="704"/>
      <c r="KBD39" s="704"/>
      <c r="KBE39" s="704"/>
      <c r="KBF39" s="704"/>
      <c r="KBG39" s="704"/>
      <c r="KBH39" s="704"/>
      <c r="KBI39" s="704"/>
      <c r="KBJ39" s="704"/>
      <c r="KBK39" s="704"/>
      <c r="KBL39" s="704"/>
      <c r="KBM39" s="704"/>
      <c r="KBN39" s="704"/>
      <c r="KBO39" s="704"/>
      <c r="KBP39" s="704"/>
      <c r="KBQ39" s="704"/>
      <c r="KBR39" s="704"/>
      <c r="KBS39" s="704"/>
      <c r="KBT39" s="704"/>
      <c r="KBU39" s="704"/>
      <c r="KBV39" s="704"/>
      <c r="KBW39" s="704"/>
      <c r="KBX39" s="704"/>
      <c r="KBY39" s="704"/>
      <c r="KBZ39" s="704"/>
      <c r="KCA39" s="704"/>
      <c r="KCB39" s="704"/>
      <c r="KCC39" s="704"/>
      <c r="KCD39" s="704"/>
      <c r="KCE39" s="704"/>
      <c r="KCF39" s="704"/>
      <c r="KCG39" s="704"/>
      <c r="KCH39" s="704"/>
      <c r="KCI39" s="704"/>
      <c r="KCJ39" s="704"/>
      <c r="KCK39" s="704"/>
      <c r="KCL39" s="704"/>
      <c r="KCM39" s="704"/>
      <c r="KCN39" s="704"/>
      <c r="KCO39" s="704"/>
      <c r="KCP39" s="704"/>
      <c r="KCQ39" s="704"/>
      <c r="KCR39" s="704"/>
      <c r="KCS39" s="704"/>
      <c r="KCT39" s="704"/>
      <c r="KCU39" s="704"/>
      <c r="KCV39" s="704"/>
      <c r="KCW39" s="704"/>
      <c r="KCX39" s="704"/>
      <c r="KCY39" s="704"/>
      <c r="KCZ39" s="704"/>
      <c r="KDA39" s="704"/>
      <c r="KDB39" s="704"/>
      <c r="KDC39" s="704"/>
      <c r="KDD39" s="704"/>
      <c r="KDE39" s="704"/>
      <c r="KDF39" s="704"/>
      <c r="KDG39" s="704"/>
      <c r="KDH39" s="704"/>
      <c r="KDI39" s="704"/>
      <c r="KDJ39" s="704"/>
      <c r="KDK39" s="704"/>
      <c r="KDL39" s="704"/>
      <c r="KDM39" s="704"/>
      <c r="KDN39" s="704"/>
      <c r="KDO39" s="704"/>
      <c r="KDP39" s="704"/>
      <c r="KDQ39" s="704"/>
      <c r="KDR39" s="704"/>
      <c r="KDS39" s="704"/>
      <c r="KDT39" s="704"/>
      <c r="KDU39" s="704"/>
      <c r="KDV39" s="704"/>
      <c r="KDW39" s="704"/>
      <c r="KDX39" s="704"/>
      <c r="KDY39" s="704"/>
      <c r="KDZ39" s="704"/>
      <c r="KEA39" s="704"/>
      <c r="KEB39" s="704"/>
      <c r="KEC39" s="704"/>
      <c r="KED39" s="704"/>
      <c r="KEE39" s="704"/>
      <c r="KEF39" s="704"/>
      <c r="KEG39" s="704"/>
      <c r="KEH39" s="704"/>
      <c r="KEI39" s="704"/>
      <c r="KEJ39" s="704"/>
      <c r="KEK39" s="704"/>
      <c r="KEL39" s="704"/>
      <c r="KEM39" s="704"/>
      <c r="KEN39" s="704"/>
      <c r="KEO39" s="704"/>
      <c r="KEP39" s="704"/>
      <c r="KEQ39" s="704"/>
      <c r="KER39" s="704"/>
      <c r="KES39" s="704"/>
      <c r="KET39" s="704"/>
      <c r="KEU39" s="704"/>
      <c r="KEV39" s="704"/>
      <c r="KEW39" s="704"/>
      <c r="KEX39" s="704"/>
      <c r="KEY39" s="704"/>
      <c r="KEZ39" s="704"/>
      <c r="KFA39" s="704"/>
      <c r="KFB39" s="704"/>
      <c r="KFC39" s="704"/>
      <c r="KFD39" s="704"/>
      <c r="KFE39" s="704"/>
      <c r="KFF39" s="704"/>
      <c r="KFG39" s="704"/>
      <c r="KFH39" s="704"/>
      <c r="KFI39" s="704"/>
      <c r="KFJ39" s="704"/>
      <c r="KFK39" s="704"/>
      <c r="KFL39" s="704"/>
      <c r="KFM39" s="704"/>
      <c r="KFN39" s="704"/>
      <c r="KFO39" s="704"/>
      <c r="KFP39" s="704"/>
      <c r="KFQ39" s="704"/>
      <c r="KFR39" s="704"/>
      <c r="KFS39" s="704"/>
      <c r="KFT39" s="704"/>
      <c r="KFU39" s="704"/>
      <c r="KFV39" s="704"/>
      <c r="KFW39" s="704"/>
      <c r="KFX39" s="704"/>
      <c r="KFY39" s="704"/>
      <c r="KFZ39" s="704"/>
      <c r="KGA39" s="704"/>
      <c r="KGB39" s="704"/>
      <c r="KGC39" s="704"/>
      <c r="KGD39" s="704"/>
      <c r="KGE39" s="704"/>
      <c r="KGF39" s="704"/>
      <c r="KGG39" s="704"/>
      <c r="KGH39" s="704"/>
      <c r="KGI39" s="704"/>
      <c r="KGJ39" s="704"/>
      <c r="KGK39" s="704"/>
      <c r="KGL39" s="704"/>
      <c r="KGM39" s="704"/>
      <c r="KGN39" s="704"/>
      <c r="KGO39" s="704"/>
      <c r="KGP39" s="704"/>
      <c r="KGQ39" s="704"/>
      <c r="KGR39" s="704"/>
      <c r="KGS39" s="704"/>
      <c r="KGT39" s="704"/>
      <c r="KGU39" s="704"/>
      <c r="KGV39" s="704"/>
      <c r="KGW39" s="704"/>
      <c r="KGX39" s="704"/>
      <c r="KGY39" s="704"/>
      <c r="KGZ39" s="704"/>
      <c r="KHA39" s="704"/>
      <c r="KHB39" s="704"/>
      <c r="KHC39" s="704"/>
      <c r="KHD39" s="704"/>
      <c r="KHE39" s="704"/>
      <c r="KHF39" s="704"/>
      <c r="KHG39" s="704"/>
      <c r="KHH39" s="704"/>
      <c r="KHI39" s="704"/>
      <c r="KHJ39" s="704"/>
      <c r="KHK39" s="704"/>
      <c r="KHL39" s="704"/>
      <c r="KHM39" s="704"/>
      <c r="KHN39" s="704"/>
      <c r="KHO39" s="704"/>
      <c r="KHP39" s="704"/>
      <c r="KHQ39" s="704"/>
      <c r="KHR39" s="704"/>
      <c r="KHS39" s="704"/>
      <c r="KHT39" s="704"/>
      <c r="KHU39" s="704"/>
      <c r="KHV39" s="704"/>
      <c r="KHW39" s="704"/>
      <c r="KHX39" s="704"/>
      <c r="KHY39" s="704"/>
      <c r="KHZ39" s="704"/>
      <c r="KIA39" s="704"/>
      <c r="KIB39" s="704"/>
      <c r="KIC39" s="704"/>
      <c r="KID39" s="704"/>
      <c r="KIE39" s="704"/>
      <c r="KIF39" s="704"/>
      <c r="KIG39" s="704"/>
      <c r="KIH39" s="704"/>
      <c r="KII39" s="704"/>
      <c r="KIJ39" s="704"/>
      <c r="KIK39" s="704"/>
      <c r="KIL39" s="704"/>
      <c r="KIM39" s="704"/>
      <c r="KIN39" s="704"/>
      <c r="KIO39" s="704"/>
      <c r="KIP39" s="704"/>
      <c r="KIQ39" s="704"/>
      <c r="KIR39" s="704"/>
      <c r="KIS39" s="704"/>
      <c r="KIT39" s="704"/>
      <c r="KIU39" s="704"/>
      <c r="KIV39" s="704"/>
      <c r="KIW39" s="704"/>
      <c r="KIX39" s="704"/>
      <c r="KIY39" s="704"/>
      <c r="KIZ39" s="704"/>
      <c r="KJA39" s="704"/>
      <c r="KJB39" s="704"/>
      <c r="KJC39" s="704"/>
      <c r="KJD39" s="704"/>
      <c r="KJE39" s="704"/>
      <c r="KJF39" s="704"/>
      <c r="KJG39" s="704"/>
      <c r="KJH39" s="704"/>
      <c r="KJI39" s="704"/>
      <c r="KJJ39" s="704"/>
      <c r="KJK39" s="704"/>
      <c r="KJL39" s="704"/>
      <c r="KJM39" s="704"/>
      <c r="KJN39" s="704"/>
      <c r="KJO39" s="704"/>
      <c r="KJP39" s="704"/>
      <c r="KJQ39" s="704"/>
      <c r="KJR39" s="704"/>
      <c r="KJS39" s="704"/>
      <c r="KJT39" s="704"/>
      <c r="KJU39" s="704"/>
      <c r="KJV39" s="704"/>
      <c r="KJW39" s="704"/>
      <c r="KJX39" s="704"/>
      <c r="KJY39" s="704"/>
      <c r="KJZ39" s="704"/>
      <c r="KKA39" s="704"/>
      <c r="KKB39" s="704"/>
      <c r="KKC39" s="704"/>
      <c r="KKD39" s="704"/>
      <c r="KKE39" s="704"/>
      <c r="KKF39" s="704"/>
      <c r="KKG39" s="704"/>
      <c r="KKH39" s="704"/>
      <c r="KKI39" s="704"/>
      <c r="KKJ39" s="704"/>
      <c r="KKK39" s="704"/>
      <c r="KKL39" s="704"/>
      <c r="KKM39" s="704"/>
      <c r="KKN39" s="704"/>
      <c r="KKO39" s="704"/>
      <c r="KKP39" s="704"/>
      <c r="KKQ39" s="704"/>
      <c r="KKR39" s="704"/>
      <c r="KKS39" s="704"/>
      <c r="KKT39" s="704"/>
      <c r="KKU39" s="704"/>
      <c r="KKV39" s="704"/>
      <c r="KKW39" s="704"/>
      <c r="KKX39" s="704"/>
      <c r="KKY39" s="704"/>
      <c r="KKZ39" s="704"/>
      <c r="KLA39" s="704"/>
      <c r="KLB39" s="704"/>
      <c r="KLC39" s="704"/>
      <c r="KLD39" s="704"/>
      <c r="KLE39" s="704"/>
      <c r="KLF39" s="704"/>
      <c r="KLG39" s="704"/>
      <c r="KLH39" s="704"/>
      <c r="KLI39" s="704"/>
      <c r="KLJ39" s="704"/>
      <c r="KLK39" s="704"/>
      <c r="KLL39" s="704"/>
      <c r="KLM39" s="704"/>
      <c r="KLN39" s="704"/>
      <c r="KLO39" s="704"/>
      <c r="KLP39" s="704"/>
      <c r="KLQ39" s="704"/>
      <c r="KLR39" s="704"/>
      <c r="KLS39" s="704"/>
      <c r="KLT39" s="704"/>
      <c r="KLU39" s="704"/>
      <c r="KLV39" s="704"/>
      <c r="KLW39" s="704"/>
      <c r="KLX39" s="704"/>
      <c r="KLY39" s="704"/>
      <c r="KLZ39" s="704"/>
      <c r="KMA39" s="704"/>
      <c r="KMB39" s="704"/>
      <c r="KMC39" s="704"/>
      <c r="KMD39" s="704"/>
      <c r="KME39" s="704"/>
      <c r="KMF39" s="704"/>
      <c r="KMG39" s="704"/>
      <c r="KMH39" s="704"/>
      <c r="KMI39" s="704"/>
      <c r="KMJ39" s="704"/>
      <c r="KMK39" s="704"/>
      <c r="KML39" s="704"/>
      <c r="KMM39" s="704"/>
      <c r="KMN39" s="704"/>
      <c r="KMO39" s="704"/>
      <c r="KMP39" s="704"/>
      <c r="KMQ39" s="704"/>
      <c r="KMR39" s="704"/>
      <c r="KMS39" s="704"/>
      <c r="KMT39" s="704"/>
      <c r="KMU39" s="704"/>
      <c r="KMV39" s="704"/>
      <c r="KMW39" s="704"/>
      <c r="KMX39" s="704"/>
      <c r="KMY39" s="704"/>
      <c r="KMZ39" s="704"/>
      <c r="KNA39" s="704"/>
      <c r="KNB39" s="704"/>
      <c r="KNC39" s="704"/>
      <c r="KND39" s="704"/>
      <c r="KNE39" s="704"/>
      <c r="KNF39" s="704"/>
      <c r="KNG39" s="704"/>
      <c r="KNH39" s="704"/>
      <c r="KNI39" s="704"/>
      <c r="KNJ39" s="704"/>
      <c r="KNK39" s="704"/>
      <c r="KNL39" s="704"/>
      <c r="KNM39" s="704"/>
      <c r="KNN39" s="704"/>
      <c r="KNO39" s="704"/>
      <c r="KNP39" s="704"/>
      <c r="KNQ39" s="704"/>
      <c r="KNR39" s="704"/>
      <c r="KNS39" s="704"/>
      <c r="KNT39" s="704"/>
      <c r="KNU39" s="704"/>
      <c r="KNV39" s="704"/>
      <c r="KNW39" s="704"/>
      <c r="KNX39" s="704"/>
      <c r="KNY39" s="704"/>
      <c r="KNZ39" s="704"/>
      <c r="KOA39" s="704"/>
      <c r="KOB39" s="704"/>
      <c r="KOC39" s="704"/>
      <c r="KOD39" s="704"/>
      <c r="KOE39" s="704"/>
      <c r="KOF39" s="704"/>
      <c r="KOG39" s="704"/>
      <c r="KOH39" s="704"/>
      <c r="KOI39" s="704"/>
      <c r="KOJ39" s="704"/>
      <c r="KOK39" s="704"/>
      <c r="KOL39" s="704"/>
      <c r="KOM39" s="704"/>
      <c r="KON39" s="704"/>
      <c r="KOO39" s="704"/>
      <c r="KOP39" s="704"/>
      <c r="KOQ39" s="704"/>
      <c r="KOR39" s="704"/>
      <c r="KOS39" s="704"/>
      <c r="KOT39" s="704"/>
      <c r="KOU39" s="704"/>
      <c r="KOV39" s="704"/>
      <c r="KOW39" s="704"/>
      <c r="KOX39" s="704"/>
      <c r="KOY39" s="704"/>
      <c r="KOZ39" s="704"/>
      <c r="KPA39" s="704"/>
      <c r="KPB39" s="704"/>
      <c r="KPC39" s="704"/>
      <c r="KPD39" s="704"/>
      <c r="KPE39" s="704"/>
      <c r="KPF39" s="704"/>
      <c r="KPG39" s="704"/>
      <c r="KPH39" s="704"/>
      <c r="KPI39" s="704"/>
      <c r="KPJ39" s="704"/>
      <c r="KPK39" s="704"/>
      <c r="KPL39" s="704"/>
      <c r="KPM39" s="704"/>
      <c r="KPN39" s="704"/>
      <c r="KPO39" s="704"/>
      <c r="KPP39" s="704"/>
      <c r="KPQ39" s="704"/>
      <c r="KPR39" s="704"/>
      <c r="KPS39" s="704"/>
      <c r="KPT39" s="704"/>
      <c r="KPU39" s="704"/>
      <c r="KPV39" s="704"/>
      <c r="KPW39" s="704"/>
      <c r="KPX39" s="704"/>
      <c r="KPY39" s="704"/>
      <c r="KPZ39" s="704"/>
      <c r="KQA39" s="704"/>
      <c r="KQB39" s="704"/>
      <c r="KQC39" s="704"/>
      <c r="KQD39" s="704"/>
      <c r="KQE39" s="704"/>
      <c r="KQF39" s="704"/>
      <c r="KQG39" s="704"/>
      <c r="KQH39" s="704"/>
      <c r="KQI39" s="704"/>
      <c r="KQJ39" s="704"/>
      <c r="KQK39" s="704"/>
      <c r="KQL39" s="704"/>
      <c r="KQM39" s="704"/>
      <c r="KQN39" s="704"/>
      <c r="KQO39" s="704"/>
      <c r="KQP39" s="704"/>
      <c r="KQQ39" s="704"/>
      <c r="KQR39" s="704"/>
      <c r="KQS39" s="704"/>
      <c r="KQT39" s="704"/>
      <c r="KQU39" s="704"/>
      <c r="KQV39" s="704"/>
      <c r="KQW39" s="704"/>
      <c r="KQX39" s="704"/>
      <c r="KQY39" s="704"/>
      <c r="KQZ39" s="704"/>
      <c r="KRA39" s="704"/>
      <c r="KRB39" s="704"/>
      <c r="KRC39" s="704"/>
      <c r="KRD39" s="704"/>
      <c r="KRE39" s="704"/>
      <c r="KRF39" s="704"/>
      <c r="KRG39" s="704"/>
      <c r="KRH39" s="704"/>
      <c r="KRI39" s="704"/>
      <c r="KRJ39" s="704"/>
      <c r="KRK39" s="704"/>
      <c r="KRL39" s="704"/>
      <c r="KRM39" s="704"/>
      <c r="KRN39" s="704"/>
      <c r="KRO39" s="704"/>
      <c r="KRP39" s="704"/>
      <c r="KRQ39" s="704"/>
      <c r="KRR39" s="704"/>
      <c r="KRS39" s="704"/>
      <c r="KRT39" s="704"/>
      <c r="KRU39" s="704"/>
      <c r="KRV39" s="704"/>
      <c r="KRW39" s="704"/>
      <c r="KRX39" s="704"/>
      <c r="KRY39" s="704"/>
      <c r="KRZ39" s="704"/>
      <c r="KSA39" s="704"/>
      <c r="KSB39" s="704"/>
      <c r="KSC39" s="704"/>
      <c r="KSD39" s="704"/>
      <c r="KSE39" s="704"/>
      <c r="KSF39" s="704"/>
      <c r="KSG39" s="704"/>
      <c r="KSH39" s="704"/>
      <c r="KSI39" s="704"/>
      <c r="KSJ39" s="704"/>
      <c r="KSK39" s="704"/>
      <c r="KSL39" s="704"/>
      <c r="KSM39" s="704"/>
      <c r="KSN39" s="704"/>
      <c r="KSO39" s="704"/>
      <c r="KSP39" s="704"/>
      <c r="KSQ39" s="704"/>
      <c r="KSR39" s="704"/>
      <c r="KSS39" s="704"/>
      <c r="KST39" s="704"/>
      <c r="KSU39" s="704"/>
      <c r="KSV39" s="704"/>
      <c r="KSW39" s="704"/>
      <c r="KSX39" s="704"/>
      <c r="KSY39" s="704"/>
      <c r="KSZ39" s="704"/>
      <c r="KTA39" s="704"/>
      <c r="KTB39" s="704"/>
      <c r="KTC39" s="704"/>
      <c r="KTD39" s="704"/>
      <c r="KTE39" s="704"/>
      <c r="KTF39" s="704"/>
      <c r="KTG39" s="704"/>
      <c r="KTH39" s="704"/>
      <c r="KTI39" s="704"/>
      <c r="KTJ39" s="704"/>
      <c r="KTK39" s="704"/>
      <c r="KTL39" s="704"/>
      <c r="KTM39" s="704"/>
      <c r="KTN39" s="704"/>
      <c r="KTO39" s="704"/>
      <c r="KTP39" s="704"/>
      <c r="KTQ39" s="704"/>
      <c r="KTR39" s="704"/>
      <c r="KTS39" s="704"/>
      <c r="KTT39" s="704"/>
      <c r="KTU39" s="704"/>
      <c r="KTV39" s="704"/>
      <c r="KTW39" s="704"/>
      <c r="KTX39" s="704"/>
      <c r="KTY39" s="704"/>
      <c r="KTZ39" s="704"/>
      <c r="KUA39" s="704"/>
      <c r="KUB39" s="704"/>
      <c r="KUC39" s="704"/>
      <c r="KUD39" s="704"/>
      <c r="KUE39" s="704"/>
      <c r="KUF39" s="704"/>
      <c r="KUG39" s="704"/>
      <c r="KUH39" s="704"/>
      <c r="KUI39" s="704"/>
      <c r="KUJ39" s="704"/>
      <c r="KUK39" s="704"/>
      <c r="KUL39" s="704"/>
      <c r="KUM39" s="704"/>
      <c r="KUN39" s="704"/>
      <c r="KUO39" s="704"/>
      <c r="KUP39" s="704"/>
      <c r="KUQ39" s="704"/>
      <c r="KUR39" s="704"/>
      <c r="KUS39" s="704"/>
      <c r="KUT39" s="704"/>
      <c r="KUU39" s="704"/>
      <c r="KUV39" s="704"/>
      <c r="KUW39" s="704"/>
      <c r="KUX39" s="704"/>
      <c r="KUY39" s="704"/>
      <c r="KUZ39" s="704"/>
      <c r="KVA39" s="704"/>
      <c r="KVB39" s="704"/>
      <c r="KVC39" s="704"/>
      <c r="KVD39" s="704"/>
      <c r="KVE39" s="704"/>
      <c r="KVF39" s="704"/>
      <c r="KVG39" s="704"/>
      <c r="KVH39" s="704"/>
      <c r="KVI39" s="704"/>
      <c r="KVJ39" s="704"/>
      <c r="KVK39" s="704"/>
      <c r="KVL39" s="704"/>
      <c r="KVM39" s="704"/>
      <c r="KVN39" s="704"/>
      <c r="KVO39" s="704"/>
      <c r="KVP39" s="704"/>
      <c r="KVQ39" s="704"/>
      <c r="KVR39" s="704"/>
      <c r="KVS39" s="704"/>
      <c r="KVT39" s="704"/>
      <c r="KVU39" s="704"/>
      <c r="KVV39" s="704"/>
      <c r="KVW39" s="704"/>
      <c r="KVX39" s="704"/>
      <c r="KVY39" s="704"/>
      <c r="KVZ39" s="704"/>
      <c r="KWA39" s="704"/>
      <c r="KWB39" s="704"/>
      <c r="KWC39" s="704"/>
      <c r="KWD39" s="704"/>
      <c r="KWE39" s="704"/>
      <c r="KWF39" s="704"/>
      <c r="KWG39" s="704"/>
      <c r="KWH39" s="704"/>
      <c r="KWI39" s="704"/>
      <c r="KWJ39" s="704"/>
      <c r="KWK39" s="704"/>
      <c r="KWL39" s="704"/>
      <c r="KWM39" s="704"/>
      <c r="KWN39" s="704"/>
      <c r="KWO39" s="704"/>
      <c r="KWP39" s="704"/>
      <c r="KWQ39" s="704"/>
      <c r="KWR39" s="704"/>
      <c r="KWS39" s="704"/>
      <c r="KWT39" s="704"/>
      <c r="KWU39" s="704"/>
      <c r="KWV39" s="704"/>
      <c r="KWW39" s="704"/>
      <c r="KWX39" s="704"/>
      <c r="KWY39" s="704"/>
      <c r="KWZ39" s="704"/>
      <c r="KXA39" s="704"/>
      <c r="KXB39" s="704"/>
      <c r="KXC39" s="704"/>
      <c r="KXD39" s="704"/>
      <c r="KXE39" s="704"/>
      <c r="KXF39" s="704"/>
      <c r="KXG39" s="704"/>
      <c r="KXH39" s="704"/>
      <c r="KXI39" s="704"/>
      <c r="KXJ39" s="704"/>
      <c r="KXK39" s="704"/>
      <c r="KXL39" s="704"/>
      <c r="KXM39" s="704"/>
      <c r="KXN39" s="704"/>
      <c r="KXO39" s="704"/>
      <c r="KXP39" s="704"/>
      <c r="KXQ39" s="704"/>
      <c r="KXR39" s="704"/>
      <c r="KXS39" s="704"/>
      <c r="KXT39" s="704"/>
      <c r="KXU39" s="704"/>
      <c r="KXV39" s="704"/>
      <c r="KXW39" s="704"/>
      <c r="KXX39" s="704"/>
      <c r="KXY39" s="704"/>
      <c r="KXZ39" s="704"/>
      <c r="KYA39" s="704"/>
      <c r="KYB39" s="704"/>
      <c r="KYC39" s="704"/>
      <c r="KYD39" s="704"/>
      <c r="KYE39" s="704"/>
      <c r="KYF39" s="704"/>
      <c r="KYG39" s="704"/>
      <c r="KYH39" s="704"/>
      <c r="KYI39" s="704"/>
      <c r="KYJ39" s="704"/>
      <c r="KYK39" s="704"/>
      <c r="KYL39" s="704"/>
      <c r="KYM39" s="704"/>
      <c r="KYN39" s="704"/>
      <c r="KYO39" s="704"/>
      <c r="KYP39" s="704"/>
      <c r="KYQ39" s="704"/>
      <c r="KYR39" s="704"/>
      <c r="KYS39" s="704"/>
      <c r="KYT39" s="704"/>
      <c r="KYU39" s="704"/>
      <c r="KYV39" s="704"/>
      <c r="KYW39" s="704"/>
      <c r="KYX39" s="704"/>
      <c r="KYY39" s="704"/>
      <c r="KYZ39" s="704"/>
      <c r="KZA39" s="704"/>
      <c r="KZB39" s="704"/>
      <c r="KZC39" s="704"/>
      <c r="KZD39" s="704"/>
      <c r="KZE39" s="704"/>
      <c r="KZF39" s="704"/>
      <c r="KZG39" s="704"/>
      <c r="KZH39" s="704"/>
      <c r="KZI39" s="704"/>
      <c r="KZJ39" s="704"/>
      <c r="KZK39" s="704"/>
      <c r="KZL39" s="704"/>
      <c r="KZM39" s="704"/>
      <c r="KZN39" s="704"/>
      <c r="KZO39" s="704"/>
      <c r="KZP39" s="704"/>
      <c r="KZQ39" s="704"/>
      <c r="KZR39" s="704"/>
      <c r="KZS39" s="704"/>
      <c r="KZT39" s="704"/>
      <c r="KZU39" s="704"/>
      <c r="KZV39" s="704"/>
      <c r="KZW39" s="704"/>
      <c r="KZX39" s="704"/>
      <c r="KZY39" s="704"/>
      <c r="KZZ39" s="704"/>
      <c r="LAA39" s="704"/>
      <c r="LAB39" s="704"/>
      <c r="LAC39" s="704"/>
      <c r="LAD39" s="704"/>
      <c r="LAE39" s="704"/>
      <c r="LAF39" s="704"/>
      <c r="LAG39" s="704"/>
      <c r="LAH39" s="704"/>
      <c r="LAI39" s="704"/>
      <c r="LAJ39" s="704"/>
      <c r="LAK39" s="704"/>
      <c r="LAL39" s="704"/>
      <c r="LAM39" s="704"/>
      <c r="LAN39" s="704"/>
      <c r="LAO39" s="704"/>
      <c r="LAP39" s="704"/>
      <c r="LAQ39" s="704"/>
      <c r="LAR39" s="704"/>
      <c r="LAS39" s="704"/>
      <c r="LAT39" s="704"/>
      <c r="LAU39" s="704"/>
      <c r="LAV39" s="704"/>
      <c r="LAW39" s="704"/>
      <c r="LAX39" s="704"/>
      <c r="LAY39" s="704"/>
      <c r="LAZ39" s="704"/>
      <c r="LBA39" s="704"/>
      <c r="LBB39" s="704"/>
      <c r="LBC39" s="704"/>
      <c r="LBD39" s="704"/>
      <c r="LBE39" s="704"/>
      <c r="LBF39" s="704"/>
      <c r="LBG39" s="704"/>
      <c r="LBH39" s="704"/>
      <c r="LBI39" s="704"/>
      <c r="LBJ39" s="704"/>
      <c r="LBK39" s="704"/>
      <c r="LBL39" s="704"/>
      <c r="LBM39" s="704"/>
      <c r="LBN39" s="704"/>
      <c r="LBO39" s="704"/>
      <c r="LBP39" s="704"/>
      <c r="LBQ39" s="704"/>
      <c r="LBR39" s="704"/>
      <c r="LBS39" s="704"/>
      <c r="LBT39" s="704"/>
      <c r="LBU39" s="704"/>
      <c r="LBV39" s="704"/>
      <c r="LBW39" s="704"/>
      <c r="LBX39" s="704"/>
      <c r="LBY39" s="704"/>
      <c r="LBZ39" s="704"/>
      <c r="LCA39" s="704"/>
      <c r="LCB39" s="704"/>
      <c r="LCC39" s="704"/>
      <c r="LCD39" s="704"/>
      <c r="LCE39" s="704"/>
      <c r="LCF39" s="704"/>
      <c r="LCG39" s="704"/>
      <c r="LCH39" s="704"/>
      <c r="LCI39" s="704"/>
      <c r="LCJ39" s="704"/>
      <c r="LCK39" s="704"/>
      <c r="LCL39" s="704"/>
      <c r="LCM39" s="704"/>
      <c r="LCN39" s="704"/>
      <c r="LCO39" s="704"/>
      <c r="LCP39" s="704"/>
      <c r="LCQ39" s="704"/>
      <c r="LCR39" s="704"/>
      <c r="LCS39" s="704"/>
      <c r="LCT39" s="704"/>
      <c r="LCU39" s="704"/>
      <c r="LCV39" s="704"/>
      <c r="LCW39" s="704"/>
      <c r="LCX39" s="704"/>
      <c r="LCY39" s="704"/>
      <c r="LCZ39" s="704"/>
      <c r="LDA39" s="704"/>
      <c r="LDB39" s="704"/>
      <c r="LDC39" s="704"/>
      <c r="LDD39" s="704"/>
      <c r="LDE39" s="704"/>
      <c r="LDF39" s="704"/>
      <c r="LDG39" s="704"/>
      <c r="LDH39" s="704"/>
      <c r="LDI39" s="704"/>
      <c r="LDJ39" s="704"/>
      <c r="LDK39" s="704"/>
      <c r="LDL39" s="704"/>
      <c r="LDM39" s="704"/>
      <c r="LDN39" s="704"/>
      <c r="LDO39" s="704"/>
      <c r="LDP39" s="704"/>
      <c r="LDQ39" s="704"/>
      <c r="LDR39" s="704"/>
      <c r="LDS39" s="704"/>
      <c r="LDT39" s="704"/>
      <c r="LDU39" s="704"/>
      <c r="LDV39" s="704"/>
      <c r="LDW39" s="704"/>
      <c r="LDX39" s="704"/>
      <c r="LDY39" s="704"/>
      <c r="LDZ39" s="704"/>
      <c r="LEA39" s="704"/>
      <c r="LEB39" s="704"/>
      <c r="LEC39" s="704"/>
      <c r="LED39" s="704"/>
      <c r="LEE39" s="704"/>
      <c r="LEF39" s="704"/>
      <c r="LEG39" s="704"/>
      <c r="LEH39" s="704"/>
      <c r="LEI39" s="704"/>
      <c r="LEJ39" s="704"/>
      <c r="LEK39" s="704"/>
      <c r="LEL39" s="704"/>
      <c r="LEM39" s="704"/>
      <c r="LEN39" s="704"/>
      <c r="LEO39" s="704"/>
      <c r="LEP39" s="704"/>
      <c r="LEQ39" s="704"/>
      <c r="LER39" s="704"/>
      <c r="LES39" s="704"/>
      <c r="LET39" s="704"/>
      <c r="LEU39" s="704"/>
      <c r="LEV39" s="704"/>
      <c r="LEW39" s="704"/>
      <c r="LEX39" s="704"/>
      <c r="LEY39" s="704"/>
      <c r="LEZ39" s="704"/>
      <c r="LFA39" s="704"/>
      <c r="LFB39" s="704"/>
      <c r="LFC39" s="704"/>
      <c r="LFD39" s="704"/>
      <c r="LFE39" s="704"/>
      <c r="LFF39" s="704"/>
      <c r="LFG39" s="704"/>
      <c r="LFH39" s="704"/>
      <c r="LFI39" s="704"/>
      <c r="LFJ39" s="704"/>
      <c r="LFK39" s="704"/>
      <c r="LFL39" s="704"/>
      <c r="LFM39" s="704"/>
      <c r="LFN39" s="704"/>
      <c r="LFO39" s="704"/>
      <c r="LFP39" s="704"/>
      <c r="LFQ39" s="704"/>
      <c r="LFR39" s="704"/>
      <c r="LFS39" s="704"/>
      <c r="LFT39" s="704"/>
      <c r="LFU39" s="704"/>
      <c r="LFV39" s="704"/>
      <c r="LFW39" s="704"/>
      <c r="LFX39" s="704"/>
      <c r="LFY39" s="704"/>
      <c r="LFZ39" s="704"/>
      <c r="LGA39" s="704"/>
      <c r="LGB39" s="704"/>
      <c r="LGC39" s="704"/>
      <c r="LGD39" s="704"/>
      <c r="LGE39" s="704"/>
      <c r="LGF39" s="704"/>
      <c r="LGG39" s="704"/>
      <c r="LGH39" s="704"/>
      <c r="LGI39" s="704"/>
      <c r="LGJ39" s="704"/>
      <c r="LGK39" s="704"/>
      <c r="LGL39" s="704"/>
      <c r="LGM39" s="704"/>
      <c r="LGN39" s="704"/>
      <c r="LGO39" s="704"/>
      <c r="LGP39" s="704"/>
      <c r="LGQ39" s="704"/>
      <c r="LGR39" s="704"/>
      <c r="LGS39" s="704"/>
      <c r="LGT39" s="704"/>
      <c r="LGU39" s="704"/>
      <c r="LGV39" s="704"/>
      <c r="LGW39" s="704"/>
      <c r="LGX39" s="704"/>
      <c r="LGY39" s="704"/>
      <c r="LGZ39" s="704"/>
      <c r="LHA39" s="704"/>
      <c r="LHB39" s="704"/>
      <c r="LHC39" s="704"/>
      <c r="LHD39" s="704"/>
      <c r="LHE39" s="704"/>
      <c r="LHF39" s="704"/>
      <c r="LHG39" s="704"/>
      <c r="LHH39" s="704"/>
      <c r="LHI39" s="704"/>
      <c r="LHJ39" s="704"/>
      <c r="LHK39" s="704"/>
      <c r="LHL39" s="704"/>
      <c r="LHM39" s="704"/>
      <c r="LHN39" s="704"/>
      <c r="LHO39" s="704"/>
      <c r="LHP39" s="704"/>
      <c r="LHQ39" s="704"/>
      <c r="LHR39" s="704"/>
      <c r="LHS39" s="704"/>
      <c r="LHT39" s="704"/>
      <c r="LHU39" s="704"/>
      <c r="LHV39" s="704"/>
      <c r="LHW39" s="704"/>
      <c r="LHX39" s="704"/>
      <c r="LHY39" s="704"/>
      <c r="LHZ39" s="704"/>
      <c r="LIA39" s="704"/>
      <c r="LIB39" s="704"/>
      <c r="LIC39" s="704"/>
      <c r="LID39" s="704"/>
      <c r="LIE39" s="704"/>
      <c r="LIF39" s="704"/>
      <c r="LIG39" s="704"/>
      <c r="LIH39" s="704"/>
      <c r="LII39" s="704"/>
      <c r="LIJ39" s="704"/>
      <c r="LIK39" s="704"/>
      <c r="LIL39" s="704"/>
      <c r="LIM39" s="704"/>
      <c r="LIN39" s="704"/>
      <c r="LIO39" s="704"/>
      <c r="LIP39" s="704"/>
      <c r="LIQ39" s="704"/>
      <c r="LIR39" s="704"/>
      <c r="LIS39" s="704"/>
      <c r="LIT39" s="704"/>
      <c r="LIU39" s="704"/>
      <c r="LIV39" s="704"/>
      <c r="LIW39" s="704"/>
      <c r="LIX39" s="704"/>
      <c r="LIY39" s="704"/>
      <c r="LIZ39" s="704"/>
      <c r="LJA39" s="704"/>
      <c r="LJB39" s="704"/>
      <c r="LJC39" s="704"/>
      <c r="LJD39" s="704"/>
      <c r="LJE39" s="704"/>
      <c r="LJF39" s="704"/>
      <c r="LJG39" s="704"/>
      <c r="LJH39" s="704"/>
      <c r="LJI39" s="704"/>
      <c r="LJJ39" s="704"/>
      <c r="LJK39" s="704"/>
      <c r="LJL39" s="704"/>
      <c r="LJM39" s="704"/>
      <c r="LJN39" s="704"/>
      <c r="LJO39" s="704"/>
      <c r="LJP39" s="704"/>
      <c r="LJQ39" s="704"/>
      <c r="LJR39" s="704"/>
      <c r="LJS39" s="704"/>
      <c r="LJT39" s="704"/>
      <c r="LJU39" s="704"/>
      <c r="LJV39" s="704"/>
      <c r="LJW39" s="704"/>
      <c r="LJX39" s="704"/>
      <c r="LJY39" s="704"/>
      <c r="LJZ39" s="704"/>
      <c r="LKA39" s="704"/>
      <c r="LKB39" s="704"/>
      <c r="LKC39" s="704"/>
      <c r="LKD39" s="704"/>
      <c r="LKE39" s="704"/>
      <c r="LKF39" s="704"/>
      <c r="LKG39" s="704"/>
      <c r="LKH39" s="704"/>
      <c r="LKI39" s="704"/>
      <c r="LKJ39" s="704"/>
      <c r="LKK39" s="704"/>
      <c r="LKL39" s="704"/>
      <c r="LKM39" s="704"/>
      <c r="LKN39" s="704"/>
      <c r="LKO39" s="704"/>
      <c r="LKP39" s="704"/>
      <c r="LKQ39" s="704"/>
      <c r="LKR39" s="704"/>
      <c r="LKS39" s="704"/>
      <c r="LKT39" s="704"/>
      <c r="LKU39" s="704"/>
      <c r="LKV39" s="704"/>
      <c r="LKW39" s="704"/>
      <c r="LKX39" s="704"/>
      <c r="LKY39" s="704"/>
      <c r="LKZ39" s="704"/>
      <c r="LLA39" s="704"/>
      <c r="LLB39" s="704"/>
      <c r="LLC39" s="704"/>
      <c r="LLD39" s="704"/>
      <c r="LLE39" s="704"/>
      <c r="LLF39" s="704"/>
      <c r="LLG39" s="704"/>
      <c r="LLH39" s="704"/>
      <c r="LLI39" s="704"/>
      <c r="LLJ39" s="704"/>
      <c r="LLK39" s="704"/>
      <c r="LLL39" s="704"/>
      <c r="LLM39" s="704"/>
      <c r="LLN39" s="704"/>
      <c r="LLO39" s="704"/>
      <c r="LLP39" s="704"/>
      <c r="LLQ39" s="704"/>
      <c r="LLR39" s="704"/>
      <c r="LLS39" s="704"/>
      <c r="LLT39" s="704"/>
      <c r="LLU39" s="704"/>
      <c r="LLV39" s="704"/>
      <c r="LLW39" s="704"/>
      <c r="LLX39" s="704"/>
      <c r="LLY39" s="704"/>
      <c r="LLZ39" s="704"/>
      <c r="LMA39" s="704"/>
      <c r="LMB39" s="704"/>
      <c r="LMC39" s="704"/>
      <c r="LMD39" s="704"/>
      <c r="LME39" s="704"/>
      <c r="LMF39" s="704"/>
      <c r="LMG39" s="704"/>
      <c r="LMH39" s="704"/>
      <c r="LMI39" s="704"/>
      <c r="LMJ39" s="704"/>
      <c r="LMK39" s="704"/>
      <c r="LML39" s="704"/>
      <c r="LMM39" s="704"/>
      <c r="LMN39" s="704"/>
      <c r="LMO39" s="704"/>
      <c r="LMP39" s="704"/>
      <c r="LMQ39" s="704"/>
      <c r="LMR39" s="704"/>
      <c r="LMS39" s="704"/>
      <c r="LMT39" s="704"/>
      <c r="LMU39" s="704"/>
      <c r="LMV39" s="704"/>
      <c r="LMW39" s="704"/>
      <c r="LMX39" s="704"/>
      <c r="LMY39" s="704"/>
      <c r="LMZ39" s="704"/>
      <c r="LNA39" s="704"/>
      <c r="LNB39" s="704"/>
      <c r="LNC39" s="704"/>
      <c r="LND39" s="704"/>
      <c r="LNE39" s="704"/>
      <c r="LNF39" s="704"/>
      <c r="LNG39" s="704"/>
      <c r="LNH39" s="704"/>
      <c r="LNI39" s="704"/>
      <c r="LNJ39" s="704"/>
      <c r="LNK39" s="704"/>
      <c r="LNL39" s="704"/>
      <c r="LNM39" s="704"/>
      <c r="LNN39" s="704"/>
      <c r="LNO39" s="704"/>
      <c r="LNP39" s="704"/>
      <c r="LNQ39" s="704"/>
      <c r="LNR39" s="704"/>
      <c r="LNS39" s="704"/>
      <c r="LNT39" s="704"/>
      <c r="LNU39" s="704"/>
      <c r="LNV39" s="704"/>
      <c r="LNW39" s="704"/>
      <c r="LNX39" s="704"/>
      <c r="LNY39" s="704"/>
      <c r="LNZ39" s="704"/>
      <c r="LOA39" s="704"/>
      <c r="LOB39" s="704"/>
      <c r="LOC39" s="704"/>
      <c r="LOD39" s="704"/>
      <c r="LOE39" s="704"/>
      <c r="LOF39" s="704"/>
      <c r="LOG39" s="704"/>
      <c r="LOH39" s="704"/>
      <c r="LOI39" s="704"/>
      <c r="LOJ39" s="704"/>
      <c r="LOK39" s="704"/>
      <c r="LOL39" s="704"/>
      <c r="LOM39" s="704"/>
      <c r="LON39" s="704"/>
      <c r="LOO39" s="704"/>
      <c r="LOP39" s="704"/>
      <c r="LOQ39" s="704"/>
      <c r="LOR39" s="704"/>
      <c r="LOS39" s="704"/>
      <c r="LOT39" s="704"/>
      <c r="LOU39" s="704"/>
      <c r="LOV39" s="704"/>
      <c r="LOW39" s="704"/>
      <c r="LOX39" s="704"/>
      <c r="LOY39" s="704"/>
      <c r="LOZ39" s="704"/>
      <c r="LPA39" s="704"/>
      <c r="LPB39" s="704"/>
      <c r="LPC39" s="704"/>
      <c r="LPD39" s="704"/>
      <c r="LPE39" s="704"/>
      <c r="LPF39" s="704"/>
      <c r="LPG39" s="704"/>
      <c r="LPH39" s="704"/>
      <c r="LPI39" s="704"/>
      <c r="LPJ39" s="704"/>
      <c r="LPK39" s="704"/>
      <c r="LPL39" s="704"/>
      <c r="LPM39" s="704"/>
      <c r="LPN39" s="704"/>
      <c r="LPO39" s="704"/>
      <c r="LPP39" s="704"/>
      <c r="LPQ39" s="704"/>
      <c r="LPR39" s="704"/>
      <c r="LPS39" s="704"/>
      <c r="LPT39" s="704"/>
      <c r="LPU39" s="704"/>
      <c r="LPV39" s="704"/>
      <c r="LPW39" s="704"/>
      <c r="LPX39" s="704"/>
      <c r="LPY39" s="704"/>
      <c r="LPZ39" s="704"/>
      <c r="LQA39" s="704"/>
      <c r="LQB39" s="704"/>
      <c r="LQC39" s="704"/>
      <c r="LQD39" s="704"/>
      <c r="LQE39" s="704"/>
      <c r="LQF39" s="704"/>
      <c r="LQG39" s="704"/>
      <c r="LQH39" s="704"/>
      <c r="LQI39" s="704"/>
      <c r="LQJ39" s="704"/>
      <c r="LQK39" s="704"/>
      <c r="LQL39" s="704"/>
      <c r="LQM39" s="704"/>
      <c r="LQN39" s="704"/>
      <c r="LQO39" s="704"/>
      <c r="LQP39" s="704"/>
      <c r="LQQ39" s="704"/>
      <c r="LQR39" s="704"/>
      <c r="LQS39" s="704"/>
      <c r="LQT39" s="704"/>
      <c r="LQU39" s="704"/>
      <c r="LQV39" s="704"/>
      <c r="LQW39" s="704"/>
      <c r="LQX39" s="704"/>
      <c r="LQY39" s="704"/>
      <c r="LQZ39" s="704"/>
      <c r="LRA39" s="704"/>
      <c r="LRB39" s="704"/>
      <c r="LRC39" s="704"/>
      <c r="LRD39" s="704"/>
      <c r="LRE39" s="704"/>
      <c r="LRF39" s="704"/>
      <c r="LRG39" s="704"/>
      <c r="LRH39" s="704"/>
      <c r="LRI39" s="704"/>
      <c r="LRJ39" s="704"/>
      <c r="LRK39" s="704"/>
      <c r="LRL39" s="704"/>
      <c r="LRM39" s="704"/>
      <c r="LRN39" s="704"/>
      <c r="LRO39" s="704"/>
      <c r="LRP39" s="704"/>
      <c r="LRQ39" s="704"/>
      <c r="LRR39" s="704"/>
      <c r="LRS39" s="704"/>
      <c r="LRT39" s="704"/>
      <c r="LRU39" s="704"/>
      <c r="LRV39" s="704"/>
      <c r="LRW39" s="704"/>
      <c r="LRX39" s="704"/>
      <c r="LRY39" s="704"/>
      <c r="LRZ39" s="704"/>
      <c r="LSA39" s="704"/>
      <c r="LSB39" s="704"/>
      <c r="LSC39" s="704"/>
      <c r="LSD39" s="704"/>
      <c r="LSE39" s="704"/>
      <c r="LSF39" s="704"/>
      <c r="LSG39" s="704"/>
      <c r="LSH39" s="704"/>
      <c r="LSI39" s="704"/>
      <c r="LSJ39" s="704"/>
      <c r="LSK39" s="704"/>
      <c r="LSL39" s="704"/>
      <c r="LSM39" s="704"/>
      <c r="LSN39" s="704"/>
      <c r="LSO39" s="704"/>
      <c r="LSP39" s="704"/>
      <c r="LSQ39" s="704"/>
      <c r="LSR39" s="704"/>
      <c r="LSS39" s="704"/>
      <c r="LST39" s="704"/>
      <c r="LSU39" s="704"/>
      <c r="LSV39" s="704"/>
      <c r="LSW39" s="704"/>
      <c r="LSX39" s="704"/>
      <c r="LSY39" s="704"/>
      <c r="LSZ39" s="704"/>
      <c r="LTA39" s="704"/>
      <c r="LTB39" s="704"/>
      <c r="LTC39" s="704"/>
      <c r="LTD39" s="704"/>
      <c r="LTE39" s="704"/>
      <c r="LTF39" s="704"/>
      <c r="LTG39" s="704"/>
      <c r="LTH39" s="704"/>
      <c r="LTI39" s="704"/>
      <c r="LTJ39" s="704"/>
      <c r="LTK39" s="704"/>
      <c r="LTL39" s="704"/>
      <c r="LTM39" s="704"/>
      <c r="LTN39" s="704"/>
      <c r="LTO39" s="704"/>
      <c r="LTP39" s="704"/>
      <c r="LTQ39" s="704"/>
      <c r="LTR39" s="704"/>
      <c r="LTS39" s="704"/>
      <c r="LTT39" s="704"/>
      <c r="LTU39" s="704"/>
      <c r="LTV39" s="704"/>
      <c r="LTW39" s="704"/>
      <c r="LTX39" s="704"/>
      <c r="LTY39" s="704"/>
      <c r="LTZ39" s="704"/>
      <c r="LUA39" s="704"/>
      <c r="LUB39" s="704"/>
      <c r="LUC39" s="704"/>
      <c r="LUD39" s="704"/>
      <c r="LUE39" s="704"/>
      <c r="LUF39" s="704"/>
      <c r="LUG39" s="704"/>
      <c r="LUH39" s="704"/>
      <c r="LUI39" s="704"/>
      <c r="LUJ39" s="704"/>
      <c r="LUK39" s="704"/>
      <c r="LUL39" s="704"/>
      <c r="LUM39" s="704"/>
      <c r="LUN39" s="704"/>
      <c r="LUO39" s="704"/>
      <c r="LUP39" s="704"/>
      <c r="LUQ39" s="704"/>
      <c r="LUR39" s="704"/>
      <c r="LUS39" s="704"/>
      <c r="LUT39" s="704"/>
      <c r="LUU39" s="704"/>
      <c r="LUV39" s="704"/>
      <c r="LUW39" s="704"/>
      <c r="LUX39" s="704"/>
      <c r="LUY39" s="704"/>
      <c r="LUZ39" s="704"/>
      <c r="LVA39" s="704"/>
      <c r="LVB39" s="704"/>
      <c r="LVC39" s="704"/>
      <c r="LVD39" s="704"/>
      <c r="LVE39" s="704"/>
      <c r="LVF39" s="704"/>
      <c r="LVG39" s="704"/>
      <c r="LVH39" s="704"/>
      <c r="LVI39" s="704"/>
      <c r="LVJ39" s="704"/>
      <c r="LVK39" s="704"/>
      <c r="LVL39" s="704"/>
      <c r="LVM39" s="704"/>
      <c r="LVN39" s="704"/>
      <c r="LVO39" s="704"/>
      <c r="LVP39" s="704"/>
      <c r="LVQ39" s="704"/>
      <c r="LVR39" s="704"/>
      <c r="LVS39" s="704"/>
      <c r="LVT39" s="704"/>
      <c r="LVU39" s="704"/>
      <c r="LVV39" s="704"/>
      <c r="LVW39" s="704"/>
      <c r="LVX39" s="704"/>
      <c r="LVY39" s="704"/>
      <c r="LVZ39" s="704"/>
      <c r="LWA39" s="704"/>
      <c r="LWB39" s="704"/>
      <c r="LWC39" s="704"/>
      <c r="LWD39" s="704"/>
      <c r="LWE39" s="704"/>
      <c r="LWF39" s="704"/>
      <c r="LWG39" s="704"/>
      <c r="LWH39" s="704"/>
      <c r="LWI39" s="704"/>
      <c r="LWJ39" s="704"/>
      <c r="LWK39" s="704"/>
      <c r="LWL39" s="704"/>
      <c r="LWM39" s="704"/>
      <c r="LWN39" s="704"/>
      <c r="LWO39" s="704"/>
      <c r="LWP39" s="704"/>
      <c r="LWQ39" s="704"/>
      <c r="LWR39" s="704"/>
      <c r="LWS39" s="704"/>
      <c r="LWT39" s="704"/>
      <c r="LWU39" s="704"/>
      <c r="LWV39" s="704"/>
      <c r="LWW39" s="704"/>
      <c r="LWX39" s="704"/>
      <c r="LWY39" s="704"/>
      <c r="LWZ39" s="704"/>
      <c r="LXA39" s="704"/>
      <c r="LXB39" s="704"/>
      <c r="LXC39" s="704"/>
      <c r="LXD39" s="704"/>
      <c r="LXE39" s="704"/>
      <c r="LXF39" s="704"/>
      <c r="LXG39" s="704"/>
      <c r="LXH39" s="704"/>
      <c r="LXI39" s="704"/>
      <c r="LXJ39" s="704"/>
      <c r="LXK39" s="704"/>
      <c r="LXL39" s="704"/>
      <c r="LXM39" s="704"/>
      <c r="LXN39" s="704"/>
      <c r="LXO39" s="704"/>
      <c r="LXP39" s="704"/>
      <c r="LXQ39" s="704"/>
      <c r="LXR39" s="704"/>
      <c r="LXS39" s="704"/>
      <c r="LXT39" s="704"/>
      <c r="LXU39" s="704"/>
      <c r="LXV39" s="704"/>
      <c r="LXW39" s="704"/>
      <c r="LXX39" s="704"/>
      <c r="LXY39" s="704"/>
      <c r="LXZ39" s="704"/>
      <c r="LYA39" s="704"/>
      <c r="LYB39" s="704"/>
      <c r="LYC39" s="704"/>
      <c r="LYD39" s="704"/>
      <c r="LYE39" s="704"/>
      <c r="LYF39" s="704"/>
      <c r="LYG39" s="704"/>
      <c r="LYH39" s="704"/>
      <c r="LYI39" s="704"/>
      <c r="LYJ39" s="704"/>
      <c r="LYK39" s="704"/>
      <c r="LYL39" s="704"/>
      <c r="LYM39" s="704"/>
      <c r="LYN39" s="704"/>
      <c r="LYO39" s="704"/>
      <c r="LYP39" s="704"/>
      <c r="LYQ39" s="704"/>
      <c r="LYR39" s="704"/>
      <c r="LYS39" s="704"/>
      <c r="LYT39" s="704"/>
      <c r="LYU39" s="704"/>
      <c r="LYV39" s="704"/>
      <c r="LYW39" s="704"/>
      <c r="LYX39" s="704"/>
      <c r="LYY39" s="704"/>
      <c r="LYZ39" s="704"/>
      <c r="LZA39" s="704"/>
      <c r="LZB39" s="704"/>
      <c r="LZC39" s="704"/>
      <c r="LZD39" s="704"/>
      <c r="LZE39" s="704"/>
      <c r="LZF39" s="704"/>
      <c r="LZG39" s="704"/>
      <c r="LZH39" s="704"/>
      <c r="LZI39" s="704"/>
      <c r="LZJ39" s="704"/>
      <c r="LZK39" s="704"/>
      <c r="LZL39" s="704"/>
      <c r="LZM39" s="704"/>
      <c r="LZN39" s="704"/>
      <c r="LZO39" s="704"/>
      <c r="LZP39" s="704"/>
      <c r="LZQ39" s="704"/>
      <c r="LZR39" s="704"/>
      <c r="LZS39" s="704"/>
      <c r="LZT39" s="704"/>
      <c r="LZU39" s="704"/>
      <c r="LZV39" s="704"/>
      <c r="LZW39" s="704"/>
      <c r="LZX39" s="704"/>
      <c r="LZY39" s="704"/>
      <c r="LZZ39" s="704"/>
      <c r="MAA39" s="704"/>
      <c r="MAB39" s="704"/>
      <c r="MAC39" s="704"/>
      <c r="MAD39" s="704"/>
      <c r="MAE39" s="704"/>
      <c r="MAF39" s="704"/>
      <c r="MAG39" s="704"/>
      <c r="MAH39" s="704"/>
      <c r="MAI39" s="704"/>
      <c r="MAJ39" s="704"/>
      <c r="MAK39" s="704"/>
      <c r="MAL39" s="704"/>
      <c r="MAM39" s="704"/>
      <c r="MAN39" s="704"/>
      <c r="MAO39" s="704"/>
      <c r="MAP39" s="704"/>
      <c r="MAQ39" s="704"/>
      <c r="MAR39" s="704"/>
      <c r="MAS39" s="704"/>
      <c r="MAT39" s="704"/>
      <c r="MAU39" s="704"/>
      <c r="MAV39" s="704"/>
      <c r="MAW39" s="704"/>
      <c r="MAX39" s="704"/>
      <c r="MAY39" s="704"/>
      <c r="MAZ39" s="704"/>
      <c r="MBA39" s="704"/>
      <c r="MBB39" s="704"/>
      <c r="MBC39" s="704"/>
      <c r="MBD39" s="704"/>
      <c r="MBE39" s="704"/>
      <c r="MBF39" s="704"/>
      <c r="MBG39" s="704"/>
      <c r="MBH39" s="704"/>
      <c r="MBI39" s="704"/>
      <c r="MBJ39" s="704"/>
      <c r="MBK39" s="704"/>
      <c r="MBL39" s="704"/>
      <c r="MBM39" s="704"/>
      <c r="MBN39" s="704"/>
      <c r="MBO39" s="704"/>
      <c r="MBP39" s="704"/>
      <c r="MBQ39" s="704"/>
      <c r="MBR39" s="704"/>
      <c r="MBS39" s="704"/>
      <c r="MBT39" s="704"/>
      <c r="MBU39" s="704"/>
      <c r="MBV39" s="704"/>
      <c r="MBW39" s="704"/>
      <c r="MBX39" s="704"/>
      <c r="MBY39" s="704"/>
      <c r="MBZ39" s="704"/>
      <c r="MCA39" s="704"/>
      <c r="MCB39" s="704"/>
      <c r="MCC39" s="704"/>
      <c r="MCD39" s="704"/>
      <c r="MCE39" s="704"/>
      <c r="MCF39" s="704"/>
      <c r="MCG39" s="704"/>
      <c r="MCH39" s="704"/>
      <c r="MCI39" s="704"/>
      <c r="MCJ39" s="704"/>
      <c r="MCK39" s="704"/>
      <c r="MCL39" s="704"/>
      <c r="MCM39" s="704"/>
      <c r="MCN39" s="704"/>
      <c r="MCO39" s="704"/>
      <c r="MCP39" s="704"/>
      <c r="MCQ39" s="704"/>
      <c r="MCR39" s="704"/>
      <c r="MCS39" s="704"/>
      <c r="MCT39" s="704"/>
      <c r="MCU39" s="704"/>
      <c r="MCV39" s="704"/>
      <c r="MCW39" s="704"/>
      <c r="MCX39" s="704"/>
      <c r="MCY39" s="704"/>
      <c r="MCZ39" s="704"/>
      <c r="MDA39" s="704"/>
      <c r="MDB39" s="704"/>
      <c r="MDC39" s="704"/>
      <c r="MDD39" s="704"/>
      <c r="MDE39" s="704"/>
      <c r="MDF39" s="704"/>
      <c r="MDG39" s="704"/>
      <c r="MDH39" s="704"/>
      <c r="MDI39" s="704"/>
      <c r="MDJ39" s="704"/>
      <c r="MDK39" s="704"/>
      <c r="MDL39" s="704"/>
      <c r="MDM39" s="704"/>
      <c r="MDN39" s="704"/>
      <c r="MDO39" s="704"/>
      <c r="MDP39" s="704"/>
      <c r="MDQ39" s="704"/>
      <c r="MDR39" s="704"/>
      <c r="MDS39" s="704"/>
      <c r="MDT39" s="704"/>
      <c r="MDU39" s="704"/>
      <c r="MDV39" s="704"/>
      <c r="MDW39" s="704"/>
      <c r="MDX39" s="704"/>
      <c r="MDY39" s="704"/>
      <c r="MDZ39" s="704"/>
      <c r="MEA39" s="704"/>
      <c r="MEB39" s="704"/>
      <c r="MEC39" s="704"/>
      <c r="MED39" s="704"/>
      <c r="MEE39" s="704"/>
      <c r="MEF39" s="704"/>
      <c r="MEG39" s="704"/>
      <c r="MEH39" s="704"/>
      <c r="MEI39" s="704"/>
      <c r="MEJ39" s="704"/>
      <c r="MEK39" s="704"/>
      <c r="MEL39" s="704"/>
      <c r="MEM39" s="704"/>
      <c r="MEN39" s="704"/>
      <c r="MEO39" s="704"/>
      <c r="MEP39" s="704"/>
      <c r="MEQ39" s="704"/>
      <c r="MER39" s="704"/>
      <c r="MES39" s="704"/>
      <c r="MET39" s="704"/>
      <c r="MEU39" s="704"/>
      <c r="MEV39" s="704"/>
      <c r="MEW39" s="704"/>
      <c r="MEX39" s="704"/>
      <c r="MEY39" s="704"/>
      <c r="MEZ39" s="704"/>
      <c r="MFA39" s="704"/>
      <c r="MFB39" s="704"/>
      <c r="MFC39" s="704"/>
      <c r="MFD39" s="704"/>
      <c r="MFE39" s="704"/>
      <c r="MFF39" s="704"/>
      <c r="MFG39" s="704"/>
      <c r="MFH39" s="704"/>
      <c r="MFI39" s="704"/>
      <c r="MFJ39" s="704"/>
      <c r="MFK39" s="704"/>
      <c r="MFL39" s="704"/>
      <c r="MFM39" s="704"/>
      <c r="MFN39" s="704"/>
      <c r="MFO39" s="704"/>
      <c r="MFP39" s="704"/>
      <c r="MFQ39" s="704"/>
      <c r="MFR39" s="704"/>
      <c r="MFS39" s="704"/>
      <c r="MFT39" s="704"/>
      <c r="MFU39" s="704"/>
      <c r="MFV39" s="704"/>
      <c r="MFW39" s="704"/>
      <c r="MFX39" s="704"/>
      <c r="MFY39" s="704"/>
      <c r="MFZ39" s="704"/>
      <c r="MGA39" s="704"/>
      <c r="MGB39" s="704"/>
      <c r="MGC39" s="704"/>
      <c r="MGD39" s="704"/>
      <c r="MGE39" s="704"/>
      <c r="MGF39" s="704"/>
      <c r="MGG39" s="704"/>
      <c r="MGH39" s="704"/>
      <c r="MGI39" s="704"/>
      <c r="MGJ39" s="704"/>
      <c r="MGK39" s="704"/>
      <c r="MGL39" s="704"/>
      <c r="MGM39" s="704"/>
      <c r="MGN39" s="704"/>
      <c r="MGO39" s="704"/>
      <c r="MGP39" s="704"/>
      <c r="MGQ39" s="704"/>
      <c r="MGR39" s="704"/>
      <c r="MGS39" s="704"/>
      <c r="MGT39" s="704"/>
      <c r="MGU39" s="704"/>
      <c r="MGV39" s="704"/>
      <c r="MGW39" s="704"/>
      <c r="MGX39" s="704"/>
      <c r="MGY39" s="704"/>
      <c r="MGZ39" s="704"/>
      <c r="MHA39" s="704"/>
      <c r="MHB39" s="704"/>
      <c r="MHC39" s="704"/>
      <c r="MHD39" s="704"/>
      <c r="MHE39" s="704"/>
      <c r="MHF39" s="704"/>
      <c r="MHG39" s="704"/>
      <c r="MHH39" s="704"/>
      <c r="MHI39" s="704"/>
      <c r="MHJ39" s="704"/>
      <c r="MHK39" s="704"/>
      <c r="MHL39" s="704"/>
      <c r="MHM39" s="704"/>
      <c r="MHN39" s="704"/>
      <c r="MHO39" s="704"/>
      <c r="MHP39" s="704"/>
      <c r="MHQ39" s="704"/>
      <c r="MHR39" s="704"/>
      <c r="MHS39" s="704"/>
      <c r="MHT39" s="704"/>
      <c r="MHU39" s="704"/>
      <c r="MHV39" s="704"/>
      <c r="MHW39" s="704"/>
      <c r="MHX39" s="704"/>
      <c r="MHY39" s="704"/>
      <c r="MHZ39" s="704"/>
      <c r="MIA39" s="704"/>
      <c r="MIB39" s="704"/>
      <c r="MIC39" s="704"/>
      <c r="MID39" s="704"/>
      <c r="MIE39" s="704"/>
      <c r="MIF39" s="704"/>
      <c r="MIG39" s="704"/>
      <c r="MIH39" s="704"/>
      <c r="MII39" s="704"/>
      <c r="MIJ39" s="704"/>
      <c r="MIK39" s="704"/>
      <c r="MIL39" s="704"/>
      <c r="MIM39" s="704"/>
      <c r="MIN39" s="704"/>
      <c r="MIO39" s="704"/>
      <c r="MIP39" s="704"/>
      <c r="MIQ39" s="704"/>
      <c r="MIR39" s="704"/>
      <c r="MIS39" s="704"/>
      <c r="MIT39" s="704"/>
      <c r="MIU39" s="704"/>
      <c r="MIV39" s="704"/>
      <c r="MIW39" s="704"/>
      <c r="MIX39" s="704"/>
      <c r="MIY39" s="704"/>
      <c r="MIZ39" s="704"/>
      <c r="MJA39" s="704"/>
      <c r="MJB39" s="704"/>
      <c r="MJC39" s="704"/>
      <c r="MJD39" s="704"/>
      <c r="MJE39" s="704"/>
      <c r="MJF39" s="704"/>
      <c r="MJG39" s="704"/>
      <c r="MJH39" s="704"/>
      <c r="MJI39" s="704"/>
      <c r="MJJ39" s="704"/>
      <c r="MJK39" s="704"/>
      <c r="MJL39" s="704"/>
      <c r="MJM39" s="704"/>
      <c r="MJN39" s="704"/>
      <c r="MJO39" s="704"/>
      <c r="MJP39" s="704"/>
      <c r="MJQ39" s="704"/>
      <c r="MJR39" s="704"/>
      <c r="MJS39" s="704"/>
      <c r="MJT39" s="704"/>
      <c r="MJU39" s="704"/>
      <c r="MJV39" s="704"/>
      <c r="MJW39" s="704"/>
      <c r="MJX39" s="704"/>
      <c r="MJY39" s="704"/>
      <c r="MJZ39" s="704"/>
      <c r="MKA39" s="704"/>
      <c r="MKB39" s="704"/>
      <c r="MKC39" s="704"/>
      <c r="MKD39" s="704"/>
      <c r="MKE39" s="704"/>
      <c r="MKF39" s="704"/>
      <c r="MKG39" s="704"/>
      <c r="MKH39" s="704"/>
      <c r="MKI39" s="704"/>
      <c r="MKJ39" s="704"/>
      <c r="MKK39" s="704"/>
      <c r="MKL39" s="704"/>
      <c r="MKM39" s="704"/>
      <c r="MKN39" s="704"/>
      <c r="MKO39" s="704"/>
      <c r="MKP39" s="704"/>
      <c r="MKQ39" s="704"/>
      <c r="MKR39" s="704"/>
      <c r="MKS39" s="704"/>
      <c r="MKT39" s="704"/>
      <c r="MKU39" s="704"/>
      <c r="MKV39" s="704"/>
      <c r="MKW39" s="704"/>
      <c r="MKX39" s="704"/>
      <c r="MKY39" s="704"/>
      <c r="MKZ39" s="704"/>
      <c r="MLA39" s="704"/>
      <c r="MLB39" s="704"/>
      <c r="MLC39" s="704"/>
      <c r="MLD39" s="704"/>
      <c r="MLE39" s="704"/>
      <c r="MLF39" s="704"/>
      <c r="MLG39" s="704"/>
      <c r="MLH39" s="704"/>
      <c r="MLI39" s="704"/>
      <c r="MLJ39" s="704"/>
      <c r="MLK39" s="704"/>
      <c r="MLL39" s="704"/>
      <c r="MLM39" s="704"/>
      <c r="MLN39" s="704"/>
      <c r="MLO39" s="704"/>
      <c r="MLP39" s="704"/>
      <c r="MLQ39" s="704"/>
      <c r="MLR39" s="704"/>
      <c r="MLS39" s="704"/>
      <c r="MLT39" s="704"/>
      <c r="MLU39" s="704"/>
      <c r="MLV39" s="704"/>
      <c r="MLW39" s="704"/>
      <c r="MLX39" s="704"/>
      <c r="MLY39" s="704"/>
      <c r="MLZ39" s="704"/>
      <c r="MMA39" s="704"/>
      <c r="MMB39" s="704"/>
      <c r="MMC39" s="704"/>
      <c r="MMD39" s="704"/>
      <c r="MME39" s="704"/>
      <c r="MMF39" s="704"/>
      <c r="MMG39" s="704"/>
      <c r="MMH39" s="704"/>
      <c r="MMI39" s="704"/>
      <c r="MMJ39" s="704"/>
      <c r="MMK39" s="704"/>
      <c r="MML39" s="704"/>
      <c r="MMM39" s="704"/>
      <c r="MMN39" s="704"/>
      <c r="MMO39" s="704"/>
      <c r="MMP39" s="704"/>
      <c r="MMQ39" s="704"/>
      <c r="MMR39" s="704"/>
      <c r="MMS39" s="704"/>
      <c r="MMT39" s="704"/>
      <c r="MMU39" s="704"/>
      <c r="MMV39" s="704"/>
      <c r="MMW39" s="704"/>
      <c r="MMX39" s="704"/>
      <c r="MMY39" s="704"/>
      <c r="MMZ39" s="704"/>
      <c r="MNA39" s="704"/>
      <c r="MNB39" s="704"/>
      <c r="MNC39" s="704"/>
      <c r="MND39" s="704"/>
      <c r="MNE39" s="704"/>
      <c r="MNF39" s="704"/>
      <c r="MNG39" s="704"/>
      <c r="MNH39" s="704"/>
      <c r="MNI39" s="704"/>
      <c r="MNJ39" s="704"/>
      <c r="MNK39" s="704"/>
      <c r="MNL39" s="704"/>
      <c r="MNM39" s="704"/>
      <c r="MNN39" s="704"/>
      <c r="MNO39" s="704"/>
      <c r="MNP39" s="704"/>
      <c r="MNQ39" s="704"/>
      <c r="MNR39" s="704"/>
      <c r="MNS39" s="704"/>
      <c r="MNT39" s="704"/>
      <c r="MNU39" s="704"/>
      <c r="MNV39" s="704"/>
      <c r="MNW39" s="704"/>
      <c r="MNX39" s="704"/>
      <c r="MNY39" s="704"/>
      <c r="MNZ39" s="704"/>
      <c r="MOA39" s="704"/>
      <c r="MOB39" s="704"/>
      <c r="MOC39" s="704"/>
      <c r="MOD39" s="704"/>
      <c r="MOE39" s="704"/>
      <c r="MOF39" s="704"/>
      <c r="MOG39" s="704"/>
      <c r="MOH39" s="704"/>
      <c r="MOI39" s="704"/>
      <c r="MOJ39" s="704"/>
      <c r="MOK39" s="704"/>
      <c r="MOL39" s="704"/>
      <c r="MOM39" s="704"/>
      <c r="MON39" s="704"/>
      <c r="MOO39" s="704"/>
      <c r="MOP39" s="704"/>
      <c r="MOQ39" s="704"/>
      <c r="MOR39" s="704"/>
      <c r="MOS39" s="704"/>
      <c r="MOT39" s="704"/>
      <c r="MOU39" s="704"/>
      <c r="MOV39" s="704"/>
      <c r="MOW39" s="704"/>
      <c r="MOX39" s="704"/>
      <c r="MOY39" s="704"/>
      <c r="MOZ39" s="704"/>
      <c r="MPA39" s="704"/>
      <c r="MPB39" s="704"/>
      <c r="MPC39" s="704"/>
      <c r="MPD39" s="704"/>
      <c r="MPE39" s="704"/>
      <c r="MPF39" s="704"/>
      <c r="MPG39" s="704"/>
      <c r="MPH39" s="704"/>
      <c r="MPI39" s="704"/>
      <c r="MPJ39" s="704"/>
      <c r="MPK39" s="704"/>
      <c r="MPL39" s="704"/>
      <c r="MPM39" s="704"/>
      <c r="MPN39" s="704"/>
      <c r="MPO39" s="704"/>
      <c r="MPP39" s="704"/>
      <c r="MPQ39" s="704"/>
      <c r="MPR39" s="704"/>
      <c r="MPS39" s="704"/>
      <c r="MPT39" s="704"/>
      <c r="MPU39" s="704"/>
      <c r="MPV39" s="704"/>
      <c r="MPW39" s="704"/>
      <c r="MPX39" s="704"/>
      <c r="MPY39" s="704"/>
      <c r="MPZ39" s="704"/>
      <c r="MQA39" s="704"/>
      <c r="MQB39" s="704"/>
      <c r="MQC39" s="704"/>
      <c r="MQD39" s="704"/>
      <c r="MQE39" s="704"/>
      <c r="MQF39" s="704"/>
      <c r="MQG39" s="704"/>
      <c r="MQH39" s="704"/>
      <c r="MQI39" s="704"/>
      <c r="MQJ39" s="704"/>
      <c r="MQK39" s="704"/>
      <c r="MQL39" s="704"/>
      <c r="MQM39" s="704"/>
      <c r="MQN39" s="704"/>
      <c r="MQO39" s="704"/>
      <c r="MQP39" s="704"/>
      <c r="MQQ39" s="704"/>
      <c r="MQR39" s="704"/>
      <c r="MQS39" s="704"/>
      <c r="MQT39" s="704"/>
      <c r="MQU39" s="704"/>
      <c r="MQV39" s="704"/>
      <c r="MQW39" s="704"/>
      <c r="MQX39" s="704"/>
      <c r="MQY39" s="704"/>
      <c r="MQZ39" s="704"/>
      <c r="MRA39" s="704"/>
      <c r="MRB39" s="704"/>
      <c r="MRC39" s="704"/>
      <c r="MRD39" s="704"/>
      <c r="MRE39" s="704"/>
      <c r="MRF39" s="704"/>
      <c r="MRG39" s="704"/>
      <c r="MRH39" s="704"/>
      <c r="MRI39" s="704"/>
      <c r="MRJ39" s="704"/>
      <c r="MRK39" s="704"/>
      <c r="MRL39" s="704"/>
      <c r="MRM39" s="704"/>
      <c r="MRN39" s="704"/>
      <c r="MRO39" s="704"/>
      <c r="MRP39" s="704"/>
      <c r="MRQ39" s="704"/>
      <c r="MRR39" s="704"/>
      <c r="MRS39" s="704"/>
      <c r="MRT39" s="704"/>
      <c r="MRU39" s="704"/>
      <c r="MRV39" s="704"/>
      <c r="MRW39" s="704"/>
      <c r="MRX39" s="704"/>
      <c r="MRY39" s="704"/>
      <c r="MRZ39" s="704"/>
      <c r="MSA39" s="704"/>
      <c r="MSB39" s="704"/>
      <c r="MSC39" s="704"/>
      <c r="MSD39" s="704"/>
      <c r="MSE39" s="704"/>
      <c r="MSF39" s="704"/>
      <c r="MSG39" s="704"/>
      <c r="MSH39" s="704"/>
      <c r="MSI39" s="704"/>
      <c r="MSJ39" s="704"/>
      <c r="MSK39" s="704"/>
      <c r="MSL39" s="704"/>
      <c r="MSM39" s="704"/>
      <c r="MSN39" s="704"/>
      <c r="MSO39" s="704"/>
      <c r="MSP39" s="704"/>
      <c r="MSQ39" s="704"/>
      <c r="MSR39" s="704"/>
      <c r="MSS39" s="704"/>
      <c r="MST39" s="704"/>
      <c r="MSU39" s="704"/>
      <c r="MSV39" s="704"/>
      <c r="MSW39" s="704"/>
      <c r="MSX39" s="704"/>
      <c r="MSY39" s="704"/>
      <c r="MSZ39" s="704"/>
      <c r="MTA39" s="704"/>
      <c r="MTB39" s="704"/>
      <c r="MTC39" s="704"/>
      <c r="MTD39" s="704"/>
      <c r="MTE39" s="704"/>
      <c r="MTF39" s="704"/>
      <c r="MTG39" s="704"/>
      <c r="MTH39" s="704"/>
      <c r="MTI39" s="704"/>
      <c r="MTJ39" s="704"/>
      <c r="MTK39" s="704"/>
      <c r="MTL39" s="704"/>
      <c r="MTM39" s="704"/>
      <c r="MTN39" s="704"/>
      <c r="MTO39" s="704"/>
      <c r="MTP39" s="704"/>
      <c r="MTQ39" s="704"/>
      <c r="MTR39" s="704"/>
      <c r="MTS39" s="704"/>
      <c r="MTT39" s="704"/>
      <c r="MTU39" s="704"/>
      <c r="MTV39" s="704"/>
      <c r="MTW39" s="704"/>
      <c r="MTX39" s="704"/>
      <c r="MTY39" s="704"/>
      <c r="MTZ39" s="704"/>
      <c r="MUA39" s="704"/>
      <c r="MUB39" s="704"/>
      <c r="MUC39" s="704"/>
      <c r="MUD39" s="704"/>
      <c r="MUE39" s="704"/>
      <c r="MUF39" s="704"/>
      <c r="MUG39" s="704"/>
      <c r="MUH39" s="704"/>
      <c r="MUI39" s="704"/>
      <c r="MUJ39" s="704"/>
      <c r="MUK39" s="704"/>
      <c r="MUL39" s="704"/>
      <c r="MUM39" s="704"/>
      <c r="MUN39" s="704"/>
      <c r="MUO39" s="704"/>
      <c r="MUP39" s="704"/>
      <c r="MUQ39" s="704"/>
      <c r="MUR39" s="704"/>
      <c r="MUS39" s="704"/>
      <c r="MUT39" s="704"/>
      <c r="MUU39" s="704"/>
      <c r="MUV39" s="704"/>
      <c r="MUW39" s="704"/>
      <c r="MUX39" s="704"/>
      <c r="MUY39" s="704"/>
      <c r="MUZ39" s="704"/>
      <c r="MVA39" s="704"/>
      <c r="MVB39" s="704"/>
      <c r="MVC39" s="704"/>
      <c r="MVD39" s="704"/>
      <c r="MVE39" s="704"/>
      <c r="MVF39" s="704"/>
      <c r="MVG39" s="704"/>
      <c r="MVH39" s="704"/>
      <c r="MVI39" s="704"/>
      <c r="MVJ39" s="704"/>
      <c r="MVK39" s="704"/>
      <c r="MVL39" s="704"/>
      <c r="MVM39" s="704"/>
      <c r="MVN39" s="704"/>
      <c r="MVO39" s="704"/>
      <c r="MVP39" s="704"/>
      <c r="MVQ39" s="704"/>
      <c r="MVR39" s="704"/>
      <c r="MVS39" s="704"/>
      <c r="MVT39" s="704"/>
      <c r="MVU39" s="704"/>
      <c r="MVV39" s="704"/>
      <c r="MVW39" s="704"/>
      <c r="MVX39" s="704"/>
      <c r="MVY39" s="704"/>
      <c r="MVZ39" s="704"/>
      <c r="MWA39" s="704"/>
      <c r="MWB39" s="704"/>
      <c r="MWC39" s="704"/>
      <c r="MWD39" s="704"/>
      <c r="MWE39" s="704"/>
      <c r="MWF39" s="704"/>
      <c r="MWG39" s="704"/>
      <c r="MWH39" s="704"/>
      <c r="MWI39" s="704"/>
      <c r="MWJ39" s="704"/>
      <c r="MWK39" s="704"/>
      <c r="MWL39" s="704"/>
      <c r="MWM39" s="704"/>
      <c r="MWN39" s="704"/>
      <c r="MWO39" s="704"/>
      <c r="MWP39" s="704"/>
      <c r="MWQ39" s="704"/>
      <c r="MWR39" s="704"/>
      <c r="MWS39" s="704"/>
      <c r="MWT39" s="704"/>
      <c r="MWU39" s="704"/>
      <c r="MWV39" s="704"/>
      <c r="MWW39" s="704"/>
      <c r="MWX39" s="704"/>
      <c r="MWY39" s="704"/>
      <c r="MWZ39" s="704"/>
      <c r="MXA39" s="704"/>
      <c r="MXB39" s="704"/>
      <c r="MXC39" s="704"/>
      <c r="MXD39" s="704"/>
      <c r="MXE39" s="704"/>
      <c r="MXF39" s="704"/>
      <c r="MXG39" s="704"/>
      <c r="MXH39" s="704"/>
      <c r="MXI39" s="704"/>
      <c r="MXJ39" s="704"/>
      <c r="MXK39" s="704"/>
      <c r="MXL39" s="704"/>
      <c r="MXM39" s="704"/>
      <c r="MXN39" s="704"/>
      <c r="MXO39" s="704"/>
      <c r="MXP39" s="704"/>
      <c r="MXQ39" s="704"/>
      <c r="MXR39" s="704"/>
      <c r="MXS39" s="704"/>
      <c r="MXT39" s="704"/>
      <c r="MXU39" s="704"/>
      <c r="MXV39" s="704"/>
      <c r="MXW39" s="704"/>
      <c r="MXX39" s="704"/>
      <c r="MXY39" s="704"/>
      <c r="MXZ39" s="704"/>
      <c r="MYA39" s="704"/>
      <c r="MYB39" s="704"/>
      <c r="MYC39" s="704"/>
      <c r="MYD39" s="704"/>
      <c r="MYE39" s="704"/>
      <c r="MYF39" s="704"/>
      <c r="MYG39" s="704"/>
      <c r="MYH39" s="704"/>
      <c r="MYI39" s="704"/>
      <c r="MYJ39" s="704"/>
      <c r="MYK39" s="704"/>
      <c r="MYL39" s="704"/>
      <c r="MYM39" s="704"/>
      <c r="MYN39" s="704"/>
      <c r="MYO39" s="704"/>
      <c r="MYP39" s="704"/>
      <c r="MYQ39" s="704"/>
      <c r="MYR39" s="704"/>
      <c r="MYS39" s="704"/>
      <c r="MYT39" s="704"/>
      <c r="MYU39" s="704"/>
      <c r="MYV39" s="704"/>
      <c r="MYW39" s="704"/>
      <c r="MYX39" s="704"/>
      <c r="MYY39" s="704"/>
      <c r="MYZ39" s="704"/>
      <c r="MZA39" s="704"/>
      <c r="MZB39" s="704"/>
      <c r="MZC39" s="704"/>
      <c r="MZD39" s="704"/>
      <c r="MZE39" s="704"/>
      <c r="MZF39" s="704"/>
      <c r="MZG39" s="704"/>
      <c r="MZH39" s="704"/>
      <c r="MZI39" s="704"/>
      <c r="MZJ39" s="704"/>
      <c r="MZK39" s="704"/>
      <c r="MZL39" s="704"/>
      <c r="MZM39" s="704"/>
      <c r="MZN39" s="704"/>
      <c r="MZO39" s="704"/>
      <c r="MZP39" s="704"/>
      <c r="MZQ39" s="704"/>
      <c r="MZR39" s="704"/>
      <c r="MZS39" s="704"/>
      <c r="MZT39" s="704"/>
      <c r="MZU39" s="704"/>
      <c r="MZV39" s="704"/>
      <c r="MZW39" s="704"/>
      <c r="MZX39" s="704"/>
      <c r="MZY39" s="704"/>
      <c r="MZZ39" s="704"/>
      <c r="NAA39" s="704"/>
      <c r="NAB39" s="704"/>
      <c r="NAC39" s="704"/>
      <c r="NAD39" s="704"/>
      <c r="NAE39" s="704"/>
      <c r="NAF39" s="704"/>
      <c r="NAG39" s="704"/>
      <c r="NAH39" s="704"/>
      <c r="NAI39" s="704"/>
      <c r="NAJ39" s="704"/>
      <c r="NAK39" s="704"/>
      <c r="NAL39" s="704"/>
      <c r="NAM39" s="704"/>
      <c r="NAN39" s="704"/>
      <c r="NAO39" s="704"/>
      <c r="NAP39" s="704"/>
      <c r="NAQ39" s="704"/>
      <c r="NAR39" s="704"/>
      <c r="NAS39" s="704"/>
      <c r="NAT39" s="704"/>
      <c r="NAU39" s="704"/>
      <c r="NAV39" s="704"/>
      <c r="NAW39" s="704"/>
      <c r="NAX39" s="704"/>
      <c r="NAY39" s="704"/>
      <c r="NAZ39" s="704"/>
      <c r="NBA39" s="704"/>
      <c r="NBB39" s="704"/>
      <c r="NBC39" s="704"/>
      <c r="NBD39" s="704"/>
      <c r="NBE39" s="704"/>
      <c r="NBF39" s="704"/>
      <c r="NBG39" s="704"/>
      <c r="NBH39" s="704"/>
      <c r="NBI39" s="704"/>
      <c r="NBJ39" s="704"/>
      <c r="NBK39" s="704"/>
      <c r="NBL39" s="704"/>
      <c r="NBM39" s="704"/>
      <c r="NBN39" s="704"/>
      <c r="NBO39" s="704"/>
      <c r="NBP39" s="704"/>
      <c r="NBQ39" s="704"/>
      <c r="NBR39" s="704"/>
      <c r="NBS39" s="704"/>
      <c r="NBT39" s="704"/>
      <c r="NBU39" s="704"/>
      <c r="NBV39" s="704"/>
      <c r="NBW39" s="704"/>
      <c r="NBX39" s="704"/>
      <c r="NBY39" s="704"/>
      <c r="NBZ39" s="704"/>
      <c r="NCA39" s="704"/>
      <c r="NCB39" s="704"/>
      <c r="NCC39" s="704"/>
      <c r="NCD39" s="704"/>
      <c r="NCE39" s="704"/>
      <c r="NCF39" s="704"/>
      <c r="NCG39" s="704"/>
      <c r="NCH39" s="704"/>
      <c r="NCI39" s="704"/>
      <c r="NCJ39" s="704"/>
      <c r="NCK39" s="704"/>
      <c r="NCL39" s="704"/>
      <c r="NCM39" s="704"/>
      <c r="NCN39" s="704"/>
      <c r="NCO39" s="704"/>
      <c r="NCP39" s="704"/>
      <c r="NCQ39" s="704"/>
      <c r="NCR39" s="704"/>
      <c r="NCS39" s="704"/>
      <c r="NCT39" s="704"/>
      <c r="NCU39" s="704"/>
      <c r="NCV39" s="704"/>
      <c r="NCW39" s="704"/>
      <c r="NCX39" s="704"/>
      <c r="NCY39" s="704"/>
      <c r="NCZ39" s="704"/>
      <c r="NDA39" s="704"/>
      <c r="NDB39" s="704"/>
      <c r="NDC39" s="704"/>
      <c r="NDD39" s="704"/>
      <c r="NDE39" s="704"/>
      <c r="NDF39" s="704"/>
      <c r="NDG39" s="704"/>
      <c r="NDH39" s="704"/>
      <c r="NDI39" s="704"/>
      <c r="NDJ39" s="704"/>
      <c r="NDK39" s="704"/>
      <c r="NDL39" s="704"/>
      <c r="NDM39" s="704"/>
      <c r="NDN39" s="704"/>
      <c r="NDO39" s="704"/>
      <c r="NDP39" s="704"/>
      <c r="NDQ39" s="704"/>
      <c r="NDR39" s="704"/>
      <c r="NDS39" s="704"/>
      <c r="NDT39" s="704"/>
      <c r="NDU39" s="704"/>
      <c r="NDV39" s="704"/>
      <c r="NDW39" s="704"/>
      <c r="NDX39" s="704"/>
      <c r="NDY39" s="704"/>
      <c r="NDZ39" s="704"/>
      <c r="NEA39" s="704"/>
      <c r="NEB39" s="704"/>
      <c r="NEC39" s="704"/>
      <c r="NED39" s="704"/>
      <c r="NEE39" s="704"/>
      <c r="NEF39" s="704"/>
      <c r="NEG39" s="704"/>
      <c r="NEH39" s="704"/>
      <c r="NEI39" s="704"/>
      <c r="NEJ39" s="704"/>
      <c r="NEK39" s="704"/>
      <c r="NEL39" s="704"/>
      <c r="NEM39" s="704"/>
      <c r="NEN39" s="704"/>
      <c r="NEO39" s="704"/>
      <c r="NEP39" s="704"/>
      <c r="NEQ39" s="704"/>
      <c r="NER39" s="704"/>
      <c r="NES39" s="704"/>
      <c r="NET39" s="704"/>
      <c r="NEU39" s="704"/>
      <c r="NEV39" s="704"/>
      <c r="NEW39" s="704"/>
      <c r="NEX39" s="704"/>
      <c r="NEY39" s="704"/>
      <c r="NEZ39" s="704"/>
      <c r="NFA39" s="704"/>
      <c r="NFB39" s="704"/>
      <c r="NFC39" s="704"/>
      <c r="NFD39" s="704"/>
      <c r="NFE39" s="704"/>
      <c r="NFF39" s="704"/>
      <c r="NFG39" s="704"/>
      <c r="NFH39" s="704"/>
      <c r="NFI39" s="704"/>
      <c r="NFJ39" s="704"/>
      <c r="NFK39" s="704"/>
      <c r="NFL39" s="704"/>
      <c r="NFM39" s="704"/>
      <c r="NFN39" s="704"/>
      <c r="NFO39" s="704"/>
      <c r="NFP39" s="704"/>
      <c r="NFQ39" s="704"/>
      <c r="NFR39" s="704"/>
      <c r="NFS39" s="704"/>
      <c r="NFT39" s="704"/>
      <c r="NFU39" s="704"/>
      <c r="NFV39" s="704"/>
      <c r="NFW39" s="704"/>
      <c r="NFX39" s="704"/>
      <c r="NFY39" s="704"/>
      <c r="NFZ39" s="704"/>
      <c r="NGA39" s="704"/>
      <c r="NGB39" s="704"/>
      <c r="NGC39" s="704"/>
      <c r="NGD39" s="704"/>
      <c r="NGE39" s="704"/>
      <c r="NGF39" s="704"/>
      <c r="NGG39" s="704"/>
      <c r="NGH39" s="704"/>
      <c r="NGI39" s="704"/>
      <c r="NGJ39" s="704"/>
      <c r="NGK39" s="704"/>
      <c r="NGL39" s="704"/>
      <c r="NGM39" s="704"/>
      <c r="NGN39" s="704"/>
      <c r="NGO39" s="704"/>
      <c r="NGP39" s="704"/>
      <c r="NGQ39" s="704"/>
      <c r="NGR39" s="704"/>
      <c r="NGS39" s="704"/>
      <c r="NGT39" s="704"/>
      <c r="NGU39" s="704"/>
      <c r="NGV39" s="704"/>
      <c r="NGW39" s="704"/>
      <c r="NGX39" s="704"/>
      <c r="NGY39" s="704"/>
      <c r="NGZ39" s="704"/>
      <c r="NHA39" s="704"/>
      <c r="NHB39" s="704"/>
      <c r="NHC39" s="704"/>
      <c r="NHD39" s="704"/>
      <c r="NHE39" s="704"/>
      <c r="NHF39" s="704"/>
      <c r="NHG39" s="704"/>
      <c r="NHH39" s="704"/>
      <c r="NHI39" s="704"/>
      <c r="NHJ39" s="704"/>
      <c r="NHK39" s="704"/>
      <c r="NHL39" s="704"/>
      <c r="NHM39" s="704"/>
      <c r="NHN39" s="704"/>
      <c r="NHO39" s="704"/>
      <c r="NHP39" s="704"/>
      <c r="NHQ39" s="704"/>
      <c r="NHR39" s="704"/>
      <c r="NHS39" s="704"/>
      <c r="NHT39" s="704"/>
      <c r="NHU39" s="704"/>
      <c r="NHV39" s="704"/>
      <c r="NHW39" s="704"/>
      <c r="NHX39" s="704"/>
      <c r="NHY39" s="704"/>
      <c r="NHZ39" s="704"/>
      <c r="NIA39" s="704"/>
      <c r="NIB39" s="704"/>
      <c r="NIC39" s="704"/>
      <c r="NID39" s="704"/>
      <c r="NIE39" s="704"/>
      <c r="NIF39" s="704"/>
      <c r="NIG39" s="704"/>
      <c r="NIH39" s="704"/>
      <c r="NII39" s="704"/>
      <c r="NIJ39" s="704"/>
      <c r="NIK39" s="704"/>
      <c r="NIL39" s="704"/>
      <c r="NIM39" s="704"/>
      <c r="NIN39" s="704"/>
      <c r="NIO39" s="704"/>
      <c r="NIP39" s="704"/>
      <c r="NIQ39" s="704"/>
      <c r="NIR39" s="704"/>
      <c r="NIS39" s="704"/>
      <c r="NIT39" s="704"/>
      <c r="NIU39" s="704"/>
      <c r="NIV39" s="704"/>
      <c r="NIW39" s="704"/>
      <c r="NIX39" s="704"/>
      <c r="NIY39" s="704"/>
      <c r="NIZ39" s="704"/>
      <c r="NJA39" s="704"/>
      <c r="NJB39" s="704"/>
      <c r="NJC39" s="704"/>
      <c r="NJD39" s="704"/>
      <c r="NJE39" s="704"/>
      <c r="NJF39" s="704"/>
      <c r="NJG39" s="704"/>
      <c r="NJH39" s="704"/>
      <c r="NJI39" s="704"/>
      <c r="NJJ39" s="704"/>
      <c r="NJK39" s="704"/>
      <c r="NJL39" s="704"/>
      <c r="NJM39" s="704"/>
      <c r="NJN39" s="704"/>
      <c r="NJO39" s="704"/>
      <c r="NJP39" s="704"/>
      <c r="NJQ39" s="704"/>
      <c r="NJR39" s="704"/>
      <c r="NJS39" s="704"/>
      <c r="NJT39" s="704"/>
      <c r="NJU39" s="704"/>
      <c r="NJV39" s="704"/>
      <c r="NJW39" s="704"/>
      <c r="NJX39" s="704"/>
      <c r="NJY39" s="704"/>
      <c r="NJZ39" s="704"/>
      <c r="NKA39" s="704"/>
      <c r="NKB39" s="704"/>
      <c r="NKC39" s="704"/>
      <c r="NKD39" s="704"/>
      <c r="NKE39" s="704"/>
      <c r="NKF39" s="704"/>
      <c r="NKG39" s="704"/>
      <c r="NKH39" s="704"/>
      <c r="NKI39" s="704"/>
      <c r="NKJ39" s="704"/>
      <c r="NKK39" s="704"/>
      <c r="NKL39" s="704"/>
      <c r="NKM39" s="704"/>
      <c r="NKN39" s="704"/>
      <c r="NKO39" s="704"/>
      <c r="NKP39" s="704"/>
      <c r="NKQ39" s="704"/>
      <c r="NKR39" s="704"/>
      <c r="NKS39" s="704"/>
      <c r="NKT39" s="704"/>
      <c r="NKU39" s="704"/>
      <c r="NKV39" s="704"/>
      <c r="NKW39" s="704"/>
      <c r="NKX39" s="704"/>
      <c r="NKY39" s="704"/>
      <c r="NKZ39" s="704"/>
      <c r="NLA39" s="704"/>
      <c r="NLB39" s="704"/>
      <c r="NLC39" s="704"/>
      <c r="NLD39" s="704"/>
      <c r="NLE39" s="704"/>
      <c r="NLF39" s="704"/>
      <c r="NLG39" s="704"/>
      <c r="NLH39" s="704"/>
      <c r="NLI39" s="704"/>
      <c r="NLJ39" s="704"/>
      <c r="NLK39" s="704"/>
      <c r="NLL39" s="704"/>
      <c r="NLM39" s="704"/>
      <c r="NLN39" s="704"/>
      <c r="NLO39" s="704"/>
      <c r="NLP39" s="704"/>
      <c r="NLQ39" s="704"/>
      <c r="NLR39" s="704"/>
      <c r="NLS39" s="704"/>
      <c r="NLT39" s="704"/>
      <c r="NLU39" s="704"/>
      <c r="NLV39" s="704"/>
      <c r="NLW39" s="704"/>
      <c r="NLX39" s="704"/>
      <c r="NLY39" s="704"/>
      <c r="NLZ39" s="704"/>
      <c r="NMA39" s="704"/>
      <c r="NMB39" s="704"/>
      <c r="NMC39" s="704"/>
      <c r="NMD39" s="704"/>
      <c r="NME39" s="704"/>
      <c r="NMF39" s="704"/>
      <c r="NMG39" s="704"/>
      <c r="NMH39" s="704"/>
      <c r="NMI39" s="704"/>
      <c r="NMJ39" s="704"/>
      <c r="NMK39" s="704"/>
      <c r="NML39" s="704"/>
      <c r="NMM39" s="704"/>
      <c r="NMN39" s="704"/>
      <c r="NMO39" s="704"/>
      <c r="NMP39" s="704"/>
      <c r="NMQ39" s="704"/>
      <c r="NMR39" s="704"/>
      <c r="NMS39" s="704"/>
      <c r="NMT39" s="704"/>
      <c r="NMU39" s="704"/>
      <c r="NMV39" s="704"/>
      <c r="NMW39" s="704"/>
      <c r="NMX39" s="704"/>
      <c r="NMY39" s="704"/>
      <c r="NMZ39" s="704"/>
      <c r="NNA39" s="704"/>
      <c r="NNB39" s="704"/>
      <c r="NNC39" s="704"/>
      <c r="NND39" s="704"/>
      <c r="NNE39" s="704"/>
      <c r="NNF39" s="704"/>
      <c r="NNG39" s="704"/>
      <c r="NNH39" s="704"/>
      <c r="NNI39" s="704"/>
      <c r="NNJ39" s="704"/>
      <c r="NNK39" s="704"/>
      <c r="NNL39" s="704"/>
      <c r="NNM39" s="704"/>
      <c r="NNN39" s="704"/>
      <c r="NNO39" s="704"/>
      <c r="NNP39" s="704"/>
      <c r="NNQ39" s="704"/>
      <c r="NNR39" s="704"/>
      <c r="NNS39" s="704"/>
      <c r="NNT39" s="704"/>
      <c r="NNU39" s="704"/>
      <c r="NNV39" s="704"/>
      <c r="NNW39" s="704"/>
      <c r="NNX39" s="704"/>
      <c r="NNY39" s="704"/>
      <c r="NNZ39" s="704"/>
      <c r="NOA39" s="704"/>
      <c r="NOB39" s="704"/>
      <c r="NOC39" s="704"/>
      <c r="NOD39" s="704"/>
      <c r="NOE39" s="704"/>
      <c r="NOF39" s="704"/>
      <c r="NOG39" s="704"/>
      <c r="NOH39" s="704"/>
      <c r="NOI39" s="704"/>
      <c r="NOJ39" s="704"/>
      <c r="NOK39" s="704"/>
      <c r="NOL39" s="704"/>
      <c r="NOM39" s="704"/>
      <c r="NON39" s="704"/>
      <c r="NOO39" s="704"/>
      <c r="NOP39" s="704"/>
      <c r="NOQ39" s="704"/>
      <c r="NOR39" s="704"/>
      <c r="NOS39" s="704"/>
      <c r="NOT39" s="704"/>
      <c r="NOU39" s="704"/>
      <c r="NOV39" s="704"/>
      <c r="NOW39" s="704"/>
      <c r="NOX39" s="704"/>
      <c r="NOY39" s="704"/>
      <c r="NOZ39" s="704"/>
      <c r="NPA39" s="704"/>
      <c r="NPB39" s="704"/>
      <c r="NPC39" s="704"/>
      <c r="NPD39" s="704"/>
      <c r="NPE39" s="704"/>
      <c r="NPF39" s="704"/>
      <c r="NPG39" s="704"/>
      <c r="NPH39" s="704"/>
      <c r="NPI39" s="704"/>
      <c r="NPJ39" s="704"/>
      <c r="NPK39" s="704"/>
      <c r="NPL39" s="704"/>
      <c r="NPM39" s="704"/>
      <c r="NPN39" s="704"/>
      <c r="NPO39" s="704"/>
      <c r="NPP39" s="704"/>
      <c r="NPQ39" s="704"/>
      <c r="NPR39" s="704"/>
      <c r="NPS39" s="704"/>
      <c r="NPT39" s="704"/>
      <c r="NPU39" s="704"/>
      <c r="NPV39" s="704"/>
      <c r="NPW39" s="704"/>
      <c r="NPX39" s="704"/>
      <c r="NPY39" s="704"/>
      <c r="NPZ39" s="704"/>
      <c r="NQA39" s="704"/>
      <c r="NQB39" s="704"/>
      <c r="NQC39" s="704"/>
      <c r="NQD39" s="704"/>
      <c r="NQE39" s="704"/>
      <c r="NQF39" s="704"/>
      <c r="NQG39" s="704"/>
      <c r="NQH39" s="704"/>
      <c r="NQI39" s="704"/>
      <c r="NQJ39" s="704"/>
      <c r="NQK39" s="704"/>
      <c r="NQL39" s="704"/>
      <c r="NQM39" s="704"/>
      <c r="NQN39" s="704"/>
      <c r="NQO39" s="704"/>
      <c r="NQP39" s="704"/>
      <c r="NQQ39" s="704"/>
      <c r="NQR39" s="704"/>
      <c r="NQS39" s="704"/>
      <c r="NQT39" s="704"/>
      <c r="NQU39" s="704"/>
      <c r="NQV39" s="704"/>
      <c r="NQW39" s="704"/>
      <c r="NQX39" s="704"/>
      <c r="NQY39" s="704"/>
      <c r="NQZ39" s="704"/>
      <c r="NRA39" s="704"/>
      <c r="NRB39" s="704"/>
      <c r="NRC39" s="704"/>
      <c r="NRD39" s="704"/>
      <c r="NRE39" s="704"/>
      <c r="NRF39" s="704"/>
      <c r="NRG39" s="704"/>
      <c r="NRH39" s="704"/>
      <c r="NRI39" s="704"/>
      <c r="NRJ39" s="704"/>
      <c r="NRK39" s="704"/>
      <c r="NRL39" s="704"/>
      <c r="NRM39" s="704"/>
      <c r="NRN39" s="704"/>
      <c r="NRO39" s="704"/>
      <c r="NRP39" s="704"/>
      <c r="NRQ39" s="704"/>
      <c r="NRR39" s="704"/>
      <c r="NRS39" s="704"/>
      <c r="NRT39" s="704"/>
      <c r="NRU39" s="704"/>
      <c r="NRV39" s="704"/>
      <c r="NRW39" s="704"/>
      <c r="NRX39" s="704"/>
      <c r="NRY39" s="704"/>
      <c r="NRZ39" s="704"/>
      <c r="NSA39" s="704"/>
      <c r="NSB39" s="704"/>
      <c r="NSC39" s="704"/>
      <c r="NSD39" s="704"/>
      <c r="NSE39" s="704"/>
      <c r="NSF39" s="704"/>
      <c r="NSG39" s="704"/>
      <c r="NSH39" s="704"/>
      <c r="NSI39" s="704"/>
      <c r="NSJ39" s="704"/>
      <c r="NSK39" s="704"/>
      <c r="NSL39" s="704"/>
      <c r="NSM39" s="704"/>
      <c r="NSN39" s="704"/>
      <c r="NSO39" s="704"/>
      <c r="NSP39" s="704"/>
      <c r="NSQ39" s="704"/>
      <c r="NSR39" s="704"/>
      <c r="NSS39" s="704"/>
      <c r="NST39" s="704"/>
      <c r="NSU39" s="704"/>
      <c r="NSV39" s="704"/>
      <c r="NSW39" s="704"/>
      <c r="NSX39" s="704"/>
      <c r="NSY39" s="704"/>
      <c r="NSZ39" s="704"/>
      <c r="NTA39" s="704"/>
      <c r="NTB39" s="704"/>
      <c r="NTC39" s="704"/>
      <c r="NTD39" s="704"/>
      <c r="NTE39" s="704"/>
      <c r="NTF39" s="704"/>
      <c r="NTG39" s="704"/>
      <c r="NTH39" s="704"/>
      <c r="NTI39" s="704"/>
      <c r="NTJ39" s="704"/>
      <c r="NTK39" s="704"/>
      <c r="NTL39" s="704"/>
      <c r="NTM39" s="704"/>
      <c r="NTN39" s="704"/>
      <c r="NTO39" s="704"/>
      <c r="NTP39" s="704"/>
      <c r="NTQ39" s="704"/>
      <c r="NTR39" s="704"/>
      <c r="NTS39" s="704"/>
      <c r="NTT39" s="704"/>
      <c r="NTU39" s="704"/>
      <c r="NTV39" s="704"/>
      <c r="NTW39" s="704"/>
      <c r="NTX39" s="704"/>
      <c r="NTY39" s="704"/>
      <c r="NTZ39" s="704"/>
      <c r="NUA39" s="704"/>
      <c r="NUB39" s="704"/>
      <c r="NUC39" s="704"/>
      <c r="NUD39" s="704"/>
      <c r="NUE39" s="704"/>
      <c r="NUF39" s="704"/>
      <c r="NUG39" s="704"/>
      <c r="NUH39" s="704"/>
      <c r="NUI39" s="704"/>
      <c r="NUJ39" s="704"/>
      <c r="NUK39" s="704"/>
      <c r="NUL39" s="704"/>
      <c r="NUM39" s="704"/>
      <c r="NUN39" s="704"/>
      <c r="NUO39" s="704"/>
      <c r="NUP39" s="704"/>
      <c r="NUQ39" s="704"/>
      <c r="NUR39" s="704"/>
      <c r="NUS39" s="704"/>
      <c r="NUT39" s="704"/>
      <c r="NUU39" s="704"/>
      <c r="NUV39" s="704"/>
      <c r="NUW39" s="704"/>
      <c r="NUX39" s="704"/>
      <c r="NUY39" s="704"/>
      <c r="NUZ39" s="704"/>
      <c r="NVA39" s="704"/>
      <c r="NVB39" s="704"/>
      <c r="NVC39" s="704"/>
      <c r="NVD39" s="704"/>
      <c r="NVE39" s="704"/>
      <c r="NVF39" s="704"/>
      <c r="NVG39" s="704"/>
      <c r="NVH39" s="704"/>
      <c r="NVI39" s="704"/>
      <c r="NVJ39" s="704"/>
      <c r="NVK39" s="704"/>
      <c r="NVL39" s="704"/>
      <c r="NVM39" s="704"/>
      <c r="NVN39" s="704"/>
      <c r="NVO39" s="704"/>
      <c r="NVP39" s="704"/>
      <c r="NVQ39" s="704"/>
      <c r="NVR39" s="704"/>
      <c r="NVS39" s="704"/>
      <c r="NVT39" s="704"/>
      <c r="NVU39" s="704"/>
      <c r="NVV39" s="704"/>
      <c r="NVW39" s="704"/>
      <c r="NVX39" s="704"/>
      <c r="NVY39" s="704"/>
      <c r="NVZ39" s="704"/>
      <c r="NWA39" s="704"/>
      <c r="NWB39" s="704"/>
      <c r="NWC39" s="704"/>
      <c r="NWD39" s="704"/>
      <c r="NWE39" s="704"/>
      <c r="NWF39" s="704"/>
      <c r="NWG39" s="704"/>
      <c r="NWH39" s="704"/>
      <c r="NWI39" s="704"/>
      <c r="NWJ39" s="704"/>
      <c r="NWK39" s="704"/>
      <c r="NWL39" s="704"/>
      <c r="NWM39" s="704"/>
      <c r="NWN39" s="704"/>
      <c r="NWO39" s="704"/>
      <c r="NWP39" s="704"/>
      <c r="NWQ39" s="704"/>
      <c r="NWR39" s="704"/>
      <c r="NWS39" s="704"/>
      <c r="NWT39" s="704"/>
      <c r="NWU39" s="704"/>
      <c r="NWV39" s="704"/>
      <c r="NWW39" s="704"/>
      <c r="NWX39" s="704"/>
      <c r="NWY39" s="704"/>
      <c r="NWZ39" s="704"/>
      <c r="NXA39" s="704"/>
      <c r="NXB39" s="704"/>
      <c r="NXC39" s="704"/>
      <c r="NXD39" s="704"/>
      <c r="NXE39" s="704"/>
      <c r="NXF39" s="704"/>
      <c r="NXG39" s="704"/>
      <c r="NXH39" s="704"/>
      <c r="NXI39" s="704"/>
      <c r="NXJ39" s="704"/>
      <c r="NXK39" s="704"/>
      <c r="NXL39" s="704"/>
      <c r="NXM39" s="704"/>
      <c r="NXN39" s="704"/>
      <c r="NXO39" s="704"/>
      <c r="NXP39" s="704"/>
      <c r="NXQ39" s="704"/>
      <c r="NXR39" s="704"/>
      <c r="NXS39" s="704"/>
      <c r="NXT39" s="704"/>
      <c r="NXU39" s="704"/>
      <c r="NXV39" s="704"/>
      <c r="NXW39" s="704"/>
      <c r="NXX39" s="704"/>
      <c r="NXY39" s="704"/>
      <c r="NXZ39" s="704"/>
      <c r="NYA39" s="704"/>
      <c r="NYB39" s="704"/>
      <c r="NYC39" s="704"/>
      <c r="NYD39" s="704"/>
      <c r="NYE39" s="704"/>
      <c r="NYF39" s="704"/>
      <c r="NYG39" s="704"/>
      <c r="NYH39" s="704"/>
      <c r="NYI39" s="704"/>
      <c r="NYJ39" s="704"/>
      <c r="NYK39" s="704"/>
      <c r="NYL39" s="704"/>
      <c r="NYM39" s="704"/>
      <c r="NYN39" s="704"/>
      <c r="NYO39" s="704"/>
      <c r="NYP39" s="704"/>
      <c r="NYQ39" s="704"/>
      <c r="NYR39" s="704"/>
      <c r="NYS39" s="704"/>
      <c r="NYT39" s="704"/>
      <c r="NYU39" s="704"/>
      <c r="NYV39" s="704"/>
      <c r="NYW39" s="704"/>
      <c r="NYX39" s="704"/>
      <c r="NYY39" s="704"/>
      <c r="NYZ39" s="704"/>
      <c r="NZA39" s="704"/>
      <c r="NZB39" s="704"/>
      <c r="NZC39" s="704"/>
      <c r="NZD39" s="704"/>
      <c r="NZE39" s="704"/>
      <c r="NZF39" s="704"/>
      <c r="NZG39" s="704"/>
      <c r="NZH39" s="704"/>
      <c r="NZI39" s="704"/>
      <c r="NZJ39" s="704"/>
      <c r="NZK39" s="704"/>
      <c r="NZL39" s="704"/>
      <c r="NZM39" s="704"/>
      <c r="NZN39" s="704"/>
      <c r="NZO39" s="704"/>
      <c r="NZP39" s="704"/>
      <c r="NZQ39" s="704"/>
      <c r="NZR39" s="704"/>
      <c r="NZS39" s="704"/>
      <c r="NZT39" s="704"/>
      <c r="NZU39" s="704"/>
      <c r="NZV39" s="704"/>
      <c r="NZW39" s="704"/>
      <c r="NZX39" s="704"/>
      <c r="NZY39" s="704"/>
      <c r="NZZ39" s="704"/>
      <c r="OAA39" s="704"/>
      <c r="OAB39" s="704"/>
      <c r="OAC39" s="704"/>
      <c r="OAD39" s="704"/>
      <c r="OAE39" s="704"/>
      <c r="OAF39" s="704"/>
      <c r="OAG39" s="704"/>
      <c r="OAH39" s="704"/>
      <c r="OAI39" s="704"/>
      <c r="OAJ39" s="704"/>
      <c r="OAK39" s="704"/>
      <c r="OAL39" s="704"/>
      <c r="OAM39" s="704"/>
      <c r="OAN39" s="704"/>
      <c r="OAO39" s="704"/>
      <c r="OAP39" s="704"/>
      <c r="OAQ39" s="704"/>
      <c r="OAR39" s="704"/>
      <c r="OAS39" s="704"/>
      <c r="OAT39" s="704"/>
      <c r="OAU39" s="704"/>
      <c r="OAV39" s="704"/>
      <c r="OAW39" s="704"/>
      <c r="OAX39" s="704"/>
      <c r="OAY39" s="704"/>
      <c r="OAZ39" s="704"/>
      <c r="OBA39" s="704"/>
      <c r="OBB39" s="704"/>
      <c r="OBC39" s="704"/>
      <c r="OBD39" s="704"/>
      <c r="OBE39" s="704"/>
      <c r="OBF39" s="704"/>
      <c r="OBG39" s="704"/>
      <c r="OBH39" s="704"/>
      <c r="OBI39" s="704"/>
      <c r="OBJ39" s="704"/>
      <c r="OBK39" s="704"/>
      <c r="OBL39" s="704"/>
      <c r="OBM39" s="704"/>
      <c r="OBN39" s="704"/>
      <c r="OBO39" s="704"/>
      <c r="OBP39" s="704"/>
      <c r="OBQ39" s="704"/>
      <c r="OBR39" s="704"/>
      <c r="OBS39" s="704"/>
      <c r="OBT39" s="704"/>
      <c r="OBU39" s="704"/>
      <c r="OBV39" s="704"/>
      <c r="OBW39" s="704"/>
      <c r="OBX39" s="704"/>
      <c r="OBY39" s="704"/>
      <c r="OBZ39" s="704"/>
      <c r="OCA39" s="704"/>
      <c r="OCB39" s="704"/>
      <c r="OCC39" s="704"/>
      <c r="OCD39" s="704"/>
      <c r="OCE39" s="704"/>
      <c r="OCF39" s="704"/>
      <c r="OCG39" s="704"/>
      <c r="OCH39" s="704"/>
      <c r="OCI39" s="704"/>
      <c r="OCJ39" s="704"/>
      <c r="OCK39" s="704"/>
      <c r="OCL39" s="704"/>
      <c r="OCM39" s="704"/>
      <c r="OCN39" s="704"/>
      <c r="OCO39" s="704"/>
      <c r="OCP39" s="704"/>
      <c r="OCQ39" s="704"/>
      <c r="OCR39" s="704"/>
      <c r="OCS39" s="704"/>
      <c r="OCT39" s="704"/>
      <c r="OCU39" s="704"/>
      <c r="OCV39" s="704"/>
      <c r="OCW39" s="704"/>
      <c r="OCX39" s="704"/>
      <c r="OCY39" s="704"/>
      <c r="OCZ39" s="704"/>
      <c r="ODA39" s="704"/>
      <c r="ODB39" s="704"/>
      <c r="ODC39" s="704"/>
      <c r="ODD39" s="704"/>
      <c r="ODE39" s="704"/>
      <c r="ODF39" s="704"/>
      <c r="ODG39" s="704"/>
      <c r="ODH39" s="704"/>
      <c r="ODI39" s="704"/>
      <c r="ODJ39" s="704"/>
      <c r="ODK39" s="704"/>
      <c r="ODL39" s="704"/>
      <c r="ODM39" s="704"/>
      <c r="ODN39" s="704"/>
      <c r="ODO39" s="704"/>
      <c r="ODP39" s="704"/>
      <c r="ODQ39" s="704"/>
      <c r="ODR39" s="704"/>
      <c r="ODS39" s="704"/>
      <c r="ODT39" s="704"/>
      <c r="ODU39" s="704"/>
      <c r="ODV39" s="704"/>
      <c r="ODW39" s="704"/>
      <c r="ODX39" s="704"/>
      <c r="ODY39" s="704"/>
      <c r="ODZ39" s="704"/>
      <c r="OEA39" s="704"/>
      <c r="OEB39" s="704"/>
      <c r="OEC39" s="704"/>
      <c r="OED39" s="704"/>
      <c r="OEE39" s="704"/>
      <c r="OEF39" s="704"/>
      <c r="OEG39" s="704"/>
      <c r="OEH39" s="704"/>
      <c r="OEI39" s="704"/>
      <c r="OEJ39" s="704"/>
      <c r="OEK39" s="704"/>
      <c r="OEL39" s="704"/>
      <c r="OEM39" s="704"/>
      <c r="OEN39" s="704"/>
      <c r="OEO39" s="704"/>
      <c r="OEP39" s="704"/>
      <c r="OEQ39" s="704"/>
      <c r="OER39" s="704"/>
      <c r="OES39" s="704"/>
      <c r="OET39" s="704"/>
      <c r="OEU39" s="704"/>
      <c r="OEV39" s="704"/>
      <c r="OEW39" s="704"/>
      <c r="OEX39" s="704"/>
      <c r="OEY39" s="704"/>
      <c r="OEZ39" s="704"/>
      <c r="OFA39" s="704"/>
      <c r="OFB39" s="704"/>
      <c r="OFC39" s="704"/>
      <c r="OFD39" s="704"/>
      <c r="OFE39" s="704"/>
      <c r="OFF39" s="704"/>
      <c r="OFG39" s="704"/>
      <c r="OFH39" s="704"/>
      <c r="OFI39" s="704"/>
      <c r="OFJ39" s="704"/>
      <c r="OFK39" s="704"/>
      <c r="OFL39" s="704"/>
      <c r="OFM39" s="704"/>
      <c r="OFN39" s="704"/>
      <c r="OFO39" s="704"/>
      <c r="OFP39" s="704"/>
      <c r="OFQ39" s="704"/>
      <c r="OFR39" s="704"/>
      <c r="OFS39" s="704"/>
      <c r="OFT39" s="704"/>
      <c r="OFU39" s="704"/>
      <c r="OFV39" s="704"/>
      <c r="OFW39" s="704"/>
      <c r="OFX39" s="704"/>
      <c r="OFY39" s="704"/>
      <c r="OFZ39" s="704"/>
      <c r="OGA39" s="704"/>
      <c r="OGB39" s="704"/>
      <c r="OGC39" s="704"/>
      <c r="OGD39" s="704"/>
      <c r="OGE39" s="704"/>
      <c r="OGF39" s="704"/>
      <c r="OGG39" s="704"/>
      <c r="OGH39" s="704"/>
      <c r="OGI39" s="704"/>
      <c r="OGJ39" s="704"/>
      <c r="OGK39" s="704"/>
      <c r="OGL39" s="704"/>
      <c r="OGM39" s="704"/>
      <c r="OGN39" s="704"/>
      <c r="OGO39" s="704"/>
      <c r="OGP39" s="704"/>
      <c r="OGQ39" s="704"/>
      <c r="OGR39" s="704"/>
      <c r="OGS39" s="704"/>
      <c r="OGT39" s="704"/>
      <c r="OGU39" s="704"/>
      <c r="OGV39" s="704"/>
      <c r="OGW39" s="704"/>
      <c r="OGX39" s="704"/>
      <c r="OGY39" s="704"/>
      <c r="OGZ39" s="704"/>
      <c r="OHA39" s="704"/>
      <c r="OHB39" s="704"/>
      <c r="OHC39" s="704"/>
      <c r="OHD39" s="704"/>
      <c r="OHE39" s="704"/>
      <c r="OHF39" s="704"/>
      <c r="OHG39" s="704"/>
      <c r="OHH39" s="704"/>
      <c r="OHI39" s="704"/>
      <c r="OHJ39" s="704"/>
      <c r="OHK39" s="704"/>
      <c r="OHL39" s="704"/>
      <c r="OHM39" s="704"/>
      <c r="OHN39" s="704"/>
      <c r="OHO39" s="704"/>
      <c r="OHP39" s="704"/>
      <c r="OHQ39" s="704"/>
      <c r="OHR39" s="704"/>
      <c r="OHS39" s="704"/>
      <c r="OHT39" s="704"/>
      <c r="OHU39" s="704"/>
      <c r="OHV39" s="704"/>
      <c r="OHW39" s="704"/>
      <c r="OHX39" s="704"/>
      <c r="OHY39" s="704"/>
      <c r="OHZ39" s="704"/>
      <c r="OIA39" s="704"/>
      <c r="OIB39" s="704"/>
      <c r="OIC39" s="704"/>
      <c r="OID39" s="704"/>
      <c r="OIE39" s="704"/>
      <c r="OIF39" s="704"/>
      <c r="OIG39" s="704"/>
      <c r="OIH39" s="704"/>
      <c r="OII39" s="704"/>
      <c r="OIJ39" s="704"/>
      <c r="OIK39" s="704"/>
      <c r="OIL39" s="704"/>
      <c r="OIM39" s="704"/>
      <c r="OIN39" s="704"/>
      <c r="OIO39" s="704"/>
      <c r="OIP39" s="704"/>
      <c r="OIQ39" s="704"/>
      <c r="OIR39" s="704"/>
      <c r="OIS39" s="704"/>
      <c r="OIT39" s="704"/>
      <c r="OIU39" s="704"/>
      <c r="OIV39" s="704"/>
      <c r="OIW39" s="704"/>
      <c r="OIX39" s="704"/>
      <c r="OIY39" s="704"/>
      <c r="OIZ39" s="704"/>
      <c r="OJA39" s="704"/>
      <c r="OJB39" s="704"/>
      <c r="OJC39" s="704"/>
      <c r="OJD39" s="704"/>
      <c r="OJE39" s="704"/>
      <c r="OJF39" s="704"/>
      <c r="OJG39" s="704"/>
      <c r="OJH39" s="704"/>
      <c r="OJI39" s="704"/>
      <c r="OJJ39" s="704"/>
      <c r="OJK39" s="704"/>
      <c r="OJL39" s="704"/>
      <c r="OJM39" s="704"/>
      <c r="OJN39" s="704"/>
      <c r="OJO39" s="704"/>
      <c r="OJP39" s="704"/>
      <c r="OJQ39" s="704"/>
      <c r="OJR39" s="704"/>
      <c r="OJS39" s="704"/>
      <c r="OJT39" s="704"/>
      <c r="OJU39" s="704"/>
      <c r="OJV39" s="704"/>
      <c r="OJW39" s="704"/>
      <c r="OJX39" s="704"/>
      <c r="OJY39" s="704"/>
      <c r="OJZ39" s="704"/>
      <c r="OKA39" s="704"/>
      <c r="OKB39" s="704"/>
      <c r="OKC39" s="704"/>
      <c r="OKD39" s="704"/>
      <c r="OKE39" s="704"/>
      <c r="OKF39" s="704"/>
      <c r="OKG39" s="704"/>
      <c r="OKH39" s="704"/>
      <c r="OKI39" s="704"/>
      <c r="OKJ39" s="704"/>
      <c r="OKK39" s="704"/>
      <c r="OKL39" s="704"/>
      <c r="OKM39" s="704"/>
      <c r="OKN39" s="704"/>
      <c r="OKO39" s="704"/>
      <c r="OKP39" s="704"/>
      <c r="OKQ39" s="704"/>
      <c r="OKR39" s="704"/>
      <c r="OKS39" s="704"/>
      <c r="OKT39" s="704"/>
      <c r="OKU39" s="704"/>
      <c r="OKV39" s="704"/>
      <c r="OKW39" s="704"/>
      <c r="OKX39" s="704"/>
      <c r="OKY39" s="704"/>
      <c r="OKZ39" s="704"/>
      <c r="OLA39" s="704"/>
      <c r="OLB39" s="704"/>
      <c r="OLC39" s="704"/>
      <c r="OLD39" s="704"/>
      <c r="OLE39" s="704"/>
      <c r="OLF39" s="704"/>
      <c r="OLG39" s="704"/>
      <c r="OLH39" s="704"/>
      <c r="OLI39" s="704"/>
      <c r="OLJ39" s="704"/>
      <c r="OLK39" s="704"/>
      <c r="OLL39" s="704"/>
      <c r="OLM39" s="704"/>
      <c r="OLN39" s="704"/>
      <c r="OLO39" s="704"/>
      <c r="OLP39" s="704"/>
      <c r="OLQ39" s="704"/>
      <c r="OLR39" s="704"/>
      <c r="OLS39" s="704"/>
      <c r="OLT39" s="704"/>
      <c r="OLU39" s="704"/>
      <c r="OLV39" s="704"/>
      <c r="OLW39" s="704"/>
      <c r="OLX39" s="704"/>
      <c r="OLY39" s="704"/>
      <c r="OLZ39" s="704"/>
      <c r="OMA39" s="704"/>
      <c r="OMB39" s="704"/>
      <c r="OMC39" s="704"/>
      <c r="OMD39" s="704"/>
      <c r="OME39" s="704"/>
      <c r="OMF39" s="704"/>
      <c r="OMG39" s="704"/>
      <c r="OMH39" s="704"/>
      <c r="OMI39" s="704"/>
      <c r="OMJ39" s="704"/>
      <c r="OMK39" s="704"/>
      <c r="OML39" s="704"/>
      <c r="OMM39" s="704"/>
      <c r="OMN39" s="704"/>
      <c r="OMO39" s="704"/>
      <c r="OMP39" s="704"/>
      <c r="OMQ39" s="704"/>
      <c r="OMR39" s="704"/>
      <c r="OMS39" s="704"/>
      <c r="OMT39" s="704"/>
      <c r="OMU39" s="704"/>
      <c r="OMV39" s="704"/>
      <c r="OMW39" s="704"/>
      <c r="OMX39" s="704"/>
      <c r="OMY39" s="704"/>
      <c r="OMZ39" s="704"/>
      <c r="ONA39" s="704"/>
      <c r="ONB39" s="704"/>
      <c r="ONC39" s="704"/>
      <c r="OND39" s="704"/>
      <c r="ONE39" s="704"/>
      <c r="ONF39" s="704"/>
      <c r="ONG39" s="704"/>
      <c r="ONH39" s="704"/>
      <c r="ONI39" s="704"/>
      <c r="ONJ39" s="704"/>
      <c r="ONK39" s="704"/>
      <c r="ONL39" s="704"/>
      <c r="ONM39" s="704"/>
      <c r="ONN39" s="704"/>
      <c r="ONO39" s="704"/>
      <c r="ONP39" s="704"/>
      <c r="ONQ39" s="704"/>
      <c r="ONR39" s="704"/>
      <c r="ONS39" s="704"/>
      <c r="ONT39" s="704"/>
      <c r="ONU39" s="704"/>
      <c r="ONV39" s="704"/>
      <c r="ONW39" s="704"/>
      <c r="ONX39" s="704"/>
      <c r="ONY39" s="704"/>
      <c r="ONZ39" s="704"/>
      <c r="OOA39" s="704"/>
      <c r="OOB39" s="704"/>
      <c r="OOC39" s="704"/>
      <c r="OOD39" s="704"/>
      <c r="OOE39" s="704"/>
      <c r="OOF39" s="704"/>
      <c r="OOG39" s="704"/>
      <c r="OOH39" s="704"/>
      <c r="OOI39" s="704"/>
      <c r="OOJ39" s="704"/>
      <c r="OOK39" s="704"/>
      <c r="OOL39" s="704"/>
      <c r="OOM39" s="704"/>
      <c r="OON39" s="704"/>
      <c r="OOO39" s="704"/>
      <c r="OOP39" s="704"/>
      <c r="OOQ39" s="704"/>
      <c r="OOR39" s="704"/>
      <c r="OOS39" s="704"/>
      <c r="OOT39" s="704"/>
      <c r="OOU39" s="704"/>
      <c r="OOV39" s="704"/>
      <c r="OOW39" s="704"/>
      <c r="OOX39" s="704"/>
      <c r="OOY39" s="704"/>
      <c r="OOZ39" s="704"/>
      <c r="OPA39" s="704"/>
      <c r="OPB39" s="704"/>
      <c r="OPC39" s="704"/>
      <c r="OPD39" s="704"/>
      <c r="OPE39" s="704"/>
      <c r="OPF39" s="704"/>
      <c r="OPG39" s="704"/>
      <c r="OPH39" s="704"/>
      <c r="OPI39" s="704"/>
      <c r="OPJ39" s="704"/>
      <c r="OPK39" s="704"/>
      <c r="OPL39" s="704"/>
      <c r="OPM39" s="704"/>
      <c r="OPN39" s="704"/>
      <c r="OPO39" s="704"/>
      <c r="OPP39" s="704"/>
      <c r="OPQ39" s="704"/>
      <c r="OPR39" s="704"/>
      <c r="OPS39" s="704"/>
      <c r="OPT39" s="704"/>
      <c r="OPU39" s="704"/>
      <c r="OPV39" s="704"/>
      <c r="OPW39" s="704"/>
      <c r="OPX39" s="704"/>
      <c r="OPY39" s="704"/>
      <c r="OPZ39" s="704"/>
      <c r="OQA39" s="704"/>
      <c r="OQB39" s="704"/>
      <c r="OQC39" s="704"/>
      <c r="OQD39" s="704"/>
      <c r="OQE39" s="704"/>
      <c r="OQF39" s="704"/>
      <c r="OQG39" s="704"/>
      <c r="OQH39" s="704"/>
      <c r="OQI39" s="704"/>
      <c r="OQJ39" s="704"/>
      <c r="OQK39" s="704"/>
      <c r="OQL39" s="704"/>
      <c r="OQM39" s="704"/>
      <c r="OQN39" s="704"/>
      <c r="OQO39" s="704"/>
      <c r="OQP39" s="704"/>
      <c r="OQQ39" s="704"/>
      <c r="OQR39" s="704"/>
      <c r="OQS39" s="704"/>
      <c r="OQT39" s="704"/>
      <c r="OQU39" s="704"/>
      <c r="OQV39" s="704"/>
      <c r="OQW39" s="704"/>
      <c r="OQX39" s="704"/>
      <c r="OQY39" s="704"/>
      <c r="OQZ39" s="704"/>
      <c r="ORA39" s="704"/>
      <c r="ORB39" s="704"/>
      <c r="ORC39" s="704"/>
      <c r="ORD39" s="704"/>
      <c r="ORE39" s="704"/>
      <c r="ORF39" s="704"/>
      <c r="ORG39" s="704"/>
      <c r="ORH39" s="704"/>
      <c r="ORI39" s="704"/>
      <c r="ORJ39" s="704"/>
      <c r="ORK39" s="704"/>
      <c r="ORL39" s="704"/>
      <c r="ORM39" s="704"/>
      <c r="ORN39" s="704"/>
      <c r="ORO39" s="704"/>
      <c r="ORP39" s="704"/>
      <c r="ORQ39" s="704"/>
      <c r="ORR39" s="704"/>
      <c r="ORS39" s="704"/>
      <c r="ORT39" s="704"/>
      <c r="ORU39" s="704"/>
      <c r="ORV39" s="704"/>
      <c r="ORW39" s="704"/>
      <c r="ORX39" s="704"/>
      <c r="ORY39" s="704"/>
      <c r="ORZ39" s="704"/>
      <c r="OSA39" s="704"/>
      <c r="OSB39" s="704"/>
      <c r="OSC39" s="704"/>
      <c r="OSD39" s="704"/>
      <c r="OSE39" s="704"/>
      <c r="OSF39" s="704"/>
      <c r="OSG39" s="704"/>
      <c r="OSH39" s="704"/>
      <c r="OSI39" s="704"/>
      <c r="OSJ39" s="704"/>
      <c r="OSK39" s="704"/>
      <c r="OSL39" s="704"/>
      <c r="OSM39" s="704"/>
      <c r="OSN39" s="704"/>
      <c r="OSO39" s="704"/>
      <c r="OSP39" s="704"/>
      <c r="OSQ39" s="704"/>
      <c r="OSR39" s="704"/>
      <c r="OSS39" s="704"/>
      <c r="OST39" s="704"/>
      <c r="OSU39" s="704"/>
      <c r="OSV39" s="704"/>
      <c r="OSW39" s="704"/>
      <c r="OSX39" s="704"/>
      <c r="OSY39" s="704"/>
      <c r="OSZ39" s="704"/>
      <c r="OTA39" s="704"/>
      <c r="OTB39" s="704"/>
      <c r="OTC39" s="704"/>
      <c r="OTD39" s="704"/>
      <c r="OTE39" s="704"/>
      <c r="OTF39" s="704"/>
      <c r="OTG39" s="704"/>
      <c r="OTH39" s="704"/>
      <c r="OTI39" s="704"/>
      <c r="OTJ39" s="704"/>
      <c r="OTK39" s="704"/>
      <c r="OTL39" s="704"/>
      <c r="OTM39" s="704"/>
      <c r="OTN39" s="704"/>
      <c r="OTO39" s="704"/>
      <c r="OTP39" s="704"/>
      <c r="OTQ39" s="704"/>
      <c r="OTR39" s="704"/>
      <c r="OTS39" s="704"/>
      <c r="OTT39" s="704"/>
      <c r="OTU39" s="704"/>
      <c r="OTV39" s="704"/>
      <c r="OTW39" s="704"/>
      <c r="OTX39" s="704"/>
      <c r="OTY39" s="704"/>
      <c r="OTZ39" s="704"/>
      <c r="OUA39" s="704"/>
      <c r="OUB39" s="704"/>
      <c r="OUC39" s="704"/>
      <c r="OUD39" s="704"/>
      <c r="OUE39" s="704"/>
      <c r="OUF39" s="704"/>
      <c r="OUG39" s="704"/>
      <c r="OUH39" s="704"/>
      <c r="OUI39" s="704"/>
      <c r="OUJ39" s="704"/>
      <c r="OUK39" s="704"/>
      <c r="OUL39" s="704"/>
      <c r="OUM39" s="704"/>
      <c r="OUN39" s="704"/>
      <c r="OUO39" s="704"/>
      <c r="OUP39" s="704"/>
      <c r="OUQ39" s="704"/>
      <c r="OUR39" s="704"/>
      <c r="OUS39" s="704"/>
      <c r="OUT39" s="704"/>
      <c r="OUU39" s="704"/>
      <c r="OUV39" s="704"/>
      <c r="OUW39" s="704"/>
      <c r="OUX39" s="704"/>
      <c r="OUY39" s="704"/>
      <c r="OUZ39" s="704"/>
      <c r="OVA39" s="704"/>
      <c r="OVB39" s="704"/>
      <c r="OVC39" s="704"/>
      <c r="OVD39" s="704"/>
      <c r="OVE39" s="704"/>
      <c r="OVF39" s="704"/>
      <c r="OVG39" s="704"/>
      <c r="OVH39" s="704"/>
      <c r="OVI39" s="704"/>
      <c r="OVJ39" s="704"/>
      <c r="OVK39" s="704"/>
      <c r="OVL39" s="704"/>
      <c r="OVM39" s="704"/>
      <c r="OVN39" s="704"/>
      <c r="OVO39" s="704"/>
      <c r="OVP39" s="704"/>
      <c r="OVQ39" s="704"/>
      <c r="OVR39" s="704"/>
      <c r="OVS39" s="704"/>
      <c r="OVT39" s="704"/>
      <c r="OVU39" s="704"/>
      <c r="OVV39" s="704"/>
      <c r="OVW39" s="704"/>
      <c r="OVX39" s="704"/>
      <c r="OVY39" s="704"/>
      <c r="OVZ39" s="704"/>
      <c r="OWA39" s="704"/>
      <c r="OWB39" s="704"/>
      <c r="OWC39" s="704"/>
      <c r="OWD39" s="704"/>
      <c r="OWE39" s="704"/>
      <c r="OWF39" s="704"/>
      <c r="OWG39" s="704"/>
      <c r="OWH39" s="704"/>
      <c r="OWI39" s="704"/>
      <c r="OWJ39" s="704"/>
      <c r="OWK39" s="704"/>
      <c r="OWL39" s="704"/>
      <c r="OWM39" s="704"/>
      <c r="OWN39" s="704"/>
      <c r="OWO39" s="704"/>
      <c r="OWP39" s="704"/>
      <c r="OWQ39" s="704"/>
      <c r="OWR39" s="704"/>
      <c r="OWS39" s="704"/>
      <c r="OWT39" s="704"/>
      <c r="OWU39" s="704"/>
      <c r="OWV39" s="704"/>
      <c r="OWW39" s="704"/>
      <c r="OWX39" s="704"/>
      <c r="OWY39" s="704"/>
      <c r="OWZ39" s="704"/>
      <c r="OXA39" s="704"/>
      <c r="OXB39" s="704"/>
      <c r="OXC39" s="704"/>
      <c r="OXD39" s="704"/>
      <c r="OXE39" s="704"/>
      <c r="OXF39" s="704"/>
      <c r="OXG39" s="704"/>
      <c r="OXH39" s="704"/>
      <c r="OXI39" s="704"/>
      <c r="OXJ39" s="704"/>
      <c r="OXK39" s="704"/>
      <c r="OXL39" s="704"/>
      <c r="OXM39" s="704"/>
      <c r="OXN39" s="704"/>
      <c r="OXO39" s="704"/>
      <c r="OXP39" s="704"/>
      <c r="OXQ39" s="704"/>
      <c r="OXR39" s="704"/>
      <c r="OXS39" s="704"/>
      <c r="OXT39" s="704"/>
      <c r="OXU39" s="704"/>
      <c r="OXV39" s="704"/>
      <c r="OXW39" s="704"/>
      <c r="OXX39" s="704"/>
      <c r="OXY39" s="704"/>
      <c r="OXZ39" s="704"/>
      <c r="OYA39" s="704"/>
      <c r="OYB39" s="704"/>
      <c r="OYC39" s="704"/>
      <c r="OYD39" s="704"/>
      <c r="OYE39" s="704"/>
      <c r="OYF39" s="704"/>
      <c r="OYG39" s="704"/>
      <c r="OYH39" s="704"/>
      <c r="OYI39" s="704"/>
      <c r="OYJ39" s="704"/>
      <c r="OYK39" s="704"/>
      <c r="OYL39" s="704"/>
      <c r="OYM39" s="704"/>
      <c r="OYN39" s="704"/>
      <c r="OYO39" s="704"/>
      <c r="OYP39" s="704"/>
      <c r="OYQ39" s="704"/>
      <c r="OYR39" s="704"/>
      <c r="OYS39" s="704"/>
      <c r="OYT39" s="704"/>
      <c r="OYU39" s="704"/>
      <c r="OYV39" s="704"/>
      <c r="OYW39" s="704"/>
      <c r="OYX39" s="704"/>
      <c r="OYY39" s="704"/>
      <c r="OYZ39" s="704"/>
      <c r="OZA39" s="704"/>
      <c r="OZB39" s="704"/>
      <c r="OZC39" s="704"/>
      <c r="OZD39" s="704"/>
      <c r="OZE39" s="704"/>
      <c r="OZF39" s="704"/>
      <c r="OZG39" s="704"/>
      <c r="OZH39" s="704"/>
      <c r="OZI39" s="704"/>
      <c r="OZJ39" s="704"/>
      <c r="OZK39" s="704"/>
      <c r="OZL39" s="704"/>
      <c r="OZM39" s="704"/>
      <c r="OZN39" s="704"/>
      <c r="OZO39" s="704"/>
      <c r="OZP39" s="704"/>
      <c r="OZQ39" s="704"/>
      <c r="OZR39" s="704"/>
      <c r="OZS39" s="704"/>
      <c r="OZT39" s="704"/>
      <c r="OZU39" s="704"/>
      <c r="OZV39" s="704"/>
      <c r="OZW39" s="704"/>
      <c r="OZX39" s="704"/>
      <c r="OZY39" s="704"/>
      <c r="OZZ39" s="704"/>
      <c r="PAA39" s="704"/>
      <c r="PAB39" s="704"/>
      <c r="PAC39" s="704"/>
      <c r="PAD39" s="704"/>
      <c r="PAE39" s="704"/>
      <c r="PAF39" s="704"/>
      <c r="PAG39" s="704"/>
      <c r="PAH39" s="704"/>
      <c r="PAI39" s="704"/>
      <c r="PAJ39" s="704"/>
      <c r="PAK39" s="704"/>
      <c r="PAL39" s="704"/>
      <c r="PAM39" s="704"/>
      <c r="PAN39" s="704"/>
      <c r="PAO39" s="704"/>
      <c r="PAP39" s="704"/>
      <c r="PAQ39" s="704"/>
      <c r="PAR39" s="704"/>
      <c r="PAS39" s="704"/>
      <c r="PAT39" s="704"/>
      <c r="PAU39" s="704"/>
      <c r="PAV39" s="704"/>
      <c r="PAW39" s="704"/>
      <c r="PAX39" s="704"/>
      <c r="PAY39" s="704"/>
      <c r="PAZ39" s="704"/>
      <c r="PBA39" s="704"/>
      <c r="PBB39" s="704"/>
      <c r="PBC39" s="704"/>
      <c r="PBD39" s="704"/>
      <c r="PBE39" s="704"/>
      <c r="PBF39" s="704"/>
      <c r="PBG39" s="704"/>
      <c r="PBH39" s="704"/>
      <c r="PBI39" s="704"/>
      <c r="PBJ39" s="704"/>
      <c r="PBK39" s="704"/>
      <c r="PBL39" s="704"/>
      <c r="PBM39" s="704"/>
      <c r="PBN39" s="704"/>
      <c r="PBO39" s="704"/>
      <c r="PBP39" s="704"/>
      <c r="PBQ39" s="704"/>
      <c r="PBR39" s="704"/>
      <c r="PBS39" s="704"/>
      <c r="PBT39" s="704"/>
      <c r="PBU39" s="704"/>
      <c r="PBV39" s="704"/>
      <c r="PBW39" s="704"/>
      <c r="PBX39" s="704"/>
      <c r="PBY39" s="704"/>
      <c r="PBZ39" s="704"/>
      <c r="PCA39" s="704"/>
      <c r="PCB39" s="704"/>
      <c r="PCC39" s="704"/>
      <c r="PCD39" s="704"/>
      <c r="PCE39" s="704"/>
      <c r="PCF39" s="704"/>
      <c r="PCG39" s="704"/>
      <c r="PCH39" s="704"/>
      <c r="PCI39" s="704"/>
      <c r="PCJ39" s="704"/>
      <c r="PCK39" s="704"/>
      <c r="PCL39" s="704"/>
      <c r="PCM39" s="704"/>
      <c r="PCN39" s="704"/>
      <c r="PCO39" s="704"/>
      <c r="PCP39" s="704"/>
      <c r="PCQ39" s="704"/>
      <c r="PCR39" s="704"/>
      <c r="PCS39" s="704"/>
      <c r="PCT39" s="704"/>
      <c r="PCU39" s="704"/>
      <c r="PCV39" s="704"/>
      <c r="PCW39" s="704"/>
      <c r="PCX39" s="704"/>
      <c r="PCY39" s="704"/>
      <c r="PCZ39" s="704"/>
      <c r="PDA39" s="704"/>
      <c r="PDB39" s="704"/>
      <c r="PDC39" s="704"/>
      <c r="PDD39" s="704"/>
      <c r="PDE39" s="704"/>
      <c r="PDF39" s="704"/>
      <c r="PDG39" s="704"/>
      <c r="PDH39" s="704"/>
      <c r="PDI39" s="704"/>
      <c r="PDJ39" s="704"/>
      <c r="PDK39" s="704"/>
      <c r="PDL39" s="704"/>
      <c r="PDM39" s="704"/>
      <c r="PDN39" s="704"/>
      <c r="PDO39" s="704"/>
      <c r="PDP39" s="704"/>
      <c r="PDQ39" s="704"/>
      <c r="PDR39" s="704"/>
      <c r="PDS39" s="704"/>
      <c r="PDT39" s="704"/>
      <c r="PDU39" s="704"/>
      <c r="PDV39" s="704"/>
      <c r="PDW39" s="704"/>
      <c r="PDX39" s="704"/>
      <c r="PDY39" s="704"/>
      <c r="PDZ39" s="704"/>
      <c r="PEA39" s="704"/>
      <c r="PEB39" s="704"/>
      <c r="PEC39" s="704"/>
      <c r="PED39" s="704"/>
      <c r="PEE39" s="704"/>
      <c r="PEF39" s="704"/>
      <c r="PEG39" s="704"/>
      <c r="PEH39" s="704"/>
      <c r="PEI39" s="704"/>
      <c r="PEJ39" s="704"/>
      <c r="PEK39" s="704"/>
      <c r="PEL39" s="704"/>
      <c r="PEM39" s="704"/>
      <c r="PEN39" s="704"/>
      <c r="PEO39" s="704"/>
      <c r="PEP39" s="704"/>
      <c r="PEQ39" s="704"/>
      <c r="PER39" s="704"/>
      <c r="PES39" s="704"/>
      <c r="PET39" s="704"/>
      <c r="PEU39" s="704"/>
      <c r="PEV39" s="704"/>
      <c r="PEW39" s="704"/>
      <c r="PEX39" s="704"/>
      <c r="PEY39" s="704"/>
      <c r="PEZ39" s="704"/>
      <c r="PFA39" s="704"/>
      <c r="PFB39" s="704"/>
      <c r="PFC39" s="704"/>
      <c r="PFD39" s="704"/>
      <c r="PFE39" s="704"/>
      <c r="PFF39" s="704"/>
      <c r="PFG39" s="704"/>
      <c r="PFH39" s="704"/>
      <c r="PFI39" s="704"/>
      <c r="PFJ39" s="704"/>
      <c r="PFK39" s="704"/>
      <c r="PFL39" s="704"/>
      <c r="PFM39" s="704"/>
      <c r="PFN39" s="704"/>
      <c r="PFO39" s="704"/>
      <c r="PFP39" s="704"/>
      <c r="PFQ39" s="704"/>
      <c r="PFR39" s="704"/>
      <c r="PFS39" s="704"/>
      <c r="PFT39" s="704"/>
      <c r="PFU39" s="704"/>
      <c r="PFV39" s="704"/>
      <c r="PFW39" s="704"/>
      <c r="PFX39" s="704"/>
      <c r="PFY39" s="704"/>
      <c r="PFZ39" s="704"/>
      <c r="PGA39" s="704"/>
      <c r="PGB39" s="704"/>
      <c r="PGC39" s="704"/>
      <c r="PGD39" s="704"/>
      <c r="PGE39" s="704"/>
      <c r="PGF39" s="704"/>
      <c r="PGG39" s="704"/>
      <c r="PGH39" s="704"/>
      <c r="PGI39" s="704"/>
      <c r="PGJ39" s="704"/>
      <c r="PGK39" s="704"/>
      <c r="PGL39" s="704"/>
      <c r="PGM39" s="704"/>
      <c r="PGN39" s="704"/>
      <c r="PGO39" s="704"/>
      <c r="PGP39" s="704"/>
      <c r="PGQ39" s="704"/>
      <c r="PGR39" s="704"/>
      <c r="PGS39" s="704"/>
      <c r="PGT39" s="704"/>
      <c r="PGU39" s="704"/>
      <c r="PGV39" s="704"/>
      <c r="PGW39" s="704"/>
      <c r="PGX39" s="704"/>
      <c r="PGY39" s="704"/>
      <c r="PGZ39" s="704"/>
      <c r="PHA39" s="704"/>
      <c r="PHB39" s="704"/>
      <c r="PHC39" s="704"/>
      <c r="PHD39" s="704"/>
      <c r="PHE39" s="704"/>
      <c r="PHF39" s="704"/>
      <c r="PHG39" s="704"/>
      <c r="PHH39" s="704"/>
      <c r="PHI39" s="704"/>
      <c r="PHJ39" s="704"/>
      <c r="PHK39" s="704"/>
      <c r="PHL39" s="704"/>
      <c r="PHM39" s="704"/>
      <c r="PHN39" s="704"/>
      <c r="PHO39" s="704"/>
      <c r="PHP39" s="704"/>
      <c r="PHQ39" s="704"/>
      <c r="PHR39" s="704"/>
      <c r="PHS39" s="704"/>
      <c r="PHT39" s="704"/>
      <c r="PHU39" s="704"/>
      <c r="PHV39" s="704"/>
      <c r="PHW39" s="704"/>
      <c r="PHX39" s="704"/>
      <c r="PHY39" s="704"/>
      <c r="PHZ39" s="704"/>
      <c r="PIA39" s="704"/>
      <c r="PIB39" s="704"/>
      <c r="PIC39" s="704"/>
      <c r="PID39" s="704"/>
      <c r="PIE39" s="704"/>
      <c r="PIF39" s="704"/>
      <c r="PIG39" s="704"/>
      <c r="PIH39" s="704"/>
      <c r="PII39" s="704"/>
      <c r="PIJ39" s="704"/>
      <c r="PIK39" s="704"/>
      <c r="PIL39" s="704"/>
      <c r="PIM39" s="704"/>
      <c r="PIN39" s="704"/>
      <c r="PIO39" s="704"/>
      <c r="PIP39" s="704"/>
      <c r="PIQ39" s="704"/>
      <c r="PIR39" s="704"/>
      <c r="PIS39" s="704"/>
      <c r="PIT39" s="704"/>
      <c r="PIU39" s="704"/>
      <c r="PIV39" s="704"/>
      <c r="PIW39" s="704"/>
      <c r="PIX39" s="704"/>
      <c r="PIY39" s="704"/>
      <c r="PIZ39" s="704"/>
      <c r="PJA39" s="704"/>
      <c r="PJB39" s="704"/>
      <c r="PJC39" s="704"/>
      <c r="PJD39" s="704"/>
      <c r="PJE39" s="704"/>
      <c r="PJF39" s="704"/>
      <c r="PJG39" s="704"/>
      <c r="PJH39" s="704"/>
      <c r="PJI39" s="704"/>
      <c r="PJJ39" s="704"/>
      <c r="PJK39" s="704"/>
      <c r="PJL39" s="704"/>
      <c r="PJM39" s="704"/>
      <c r="PJN39" s="704"/>
      <c r="PJO39" s="704"/>
      <c r="PJP39" s="704"/>
      <c r="PJQ39" s="704"/>
      <c r="PJR39" s="704"/>
      <c r="PJS39" s="704"/>
      <c r="PJT39" s="704"/>
      <c r="PJU39" s="704"/>
      <c r="PJV39" s="704"/>
      <c r="PJW39" s="704"/>
      <c r="PJX39" s="704"/>
      <c r="PJY39" s="704"/>
      <c r="PJZ39" s="704"/>
      <c r="PKA39" s="704"/>
      <c r="PKB39" s="704"/>
      <c r="PKC39" s="704"/>
      <c r="PKD39" s="704"/>
      <c r="PKE39" s="704"/>
      <c r="PKF39" s="704"/>
      <c r="PKG39" s="704"/>
      <c r="PKH39" s="704"/>
      <c r="PKI39" s="704"/>
      <c r="PKJ39" s="704"/>
      <c r="PKK39" s="704"/>
      <c r="PKL39" s="704"/>
      <c r="PKM39" s="704"/>
      <c r="PKN39" s="704"/>
      <c r="PKO39" s="704"/>
      <c r="PKP39" s="704"/>
      <c r="PKQ39" s="704"/>
      <c r="PKR39" s="704"/>
      <c r="PKS39" s="704"/>
      <c r="PKT39" s="704"/>
      <c r="PKU39" s="704"/>
      <c r="PKV39" s="704"/>
      <c r="PKW39" s="704"/>
      <c r="PKX39" s="704"/>
      <c r="PKY39" s="704"/>
      <c r="PKZ39" s="704"/>
      <c r="PLA39" s="704"/>
      <c r="PLB39" s="704"/>
      <c r="PLC39" s="704"/>
      <c r="PLD39" s="704"/>
      <c r="PLE39" s="704"/>
      <c r="PLF39" s="704"/>
      <c r="PLG39" s="704"/>
      <c r="PLH39" s="704"/>
      <c r="PLI39" s="704"/>
      <c r="PLJ39" s="704"/>
      <c r="PLK39" s="704"/>
      <c r="PLL39" s="704"/>
      <c r="PLM39" s="704"/>
      <c r="PLN39" s="704"/>
      <c r="PLO39" s="704"/>
      <c r="PLP39" s="704"/>
      <c r="PLQ39" s="704"/>
      <c r="PLR39" s="704"/>
      <c r="PLS39" s="704"/>
      <c r="PLT39" s="704"/>
      <c r="PLU39" s="704"/>
      <c r="PLV39" s="704"/>
      <c r="PLW39" s="704"/>
      <c r="PLX39" s="704"/>
      <c r="PLY39" s="704"/>
      <c r="PLZ39" s="704"/>
      <c r="PMA39" s="704"/>
      <c r="PMB39" s="704"/>
      <c r="PMC39" s="704"/>
      <c r="PMD39" s="704"/>
      <c r="PME39" s="704"/>
      <c r="PMF39" s="704"/>
      <c r="PMG39" s="704"/>
      <c r="PMH39" s="704"/>
      <c r="PMI39" s="704"/>
      <c r="PMJ39" s="704"/>
      <c r="PMK39" s="704"/>
      <c r="PML39" s="704"/>
      <c r="PMM39" s="704"/>
      <c r="PMN39" s="704"/>
      <c r="PMO39" s="704"/>
      <c r="PMP39" s="704"/>
      <c r="PMQ39" s="704"/>
      <c r="PMR39" s="704"/>
      <c r="PMS39" s="704"/>
      <c r="PMT39" s="704"/>
      <c r="PMU39" s="704"/>
      <c r="PMV39" s="704"/>
      <c r="PMW39" s="704"/>
      <c r="PMX39" s="704"/>
      <c r="PMY39" s="704"/>
      <c r="PMZ39" s="704"/>
      <c r="PNA39" s="704"/>
      <c r="PNB39" s="704"/>
      <c r="PNC39" s="704"/>
      <c r="PND39" s="704"/>
      <c r="PNE39" s="704"/>
      <c r="PNF39" s="704"/>
      <c r="PNG39" s="704"/>
      <c r="PNH39" s="704"/>
      <c r="PNI39" s="704"/>
      <c r="PNJ39" s="704"/>
      <c r="PNK39" s="704"/>
      <c r="PNL39" s="704"/>
      <c r="PNM39" s="704"/>
      <c r="PNN39" s="704"/>
      <c r="PNO39" s="704"/>
      <c r="PNP39" s="704"/>
      <c r="PNQ39" s="704"/>
      <c r="PNR39" s="704"/>
      <c r="PNS39" s="704"/>
      <c r="PNT39" s="704"/>
      <c r="PNU39" s="704"/>
      <c r="PNV39" s="704"/>
      <c r="PNW39" s="704"/>
      <c r="PNX39" s="704"/>
      <c r="PNY39" s="704"/>
      <c r="PNZ39" s="704"/>
      <c r="POA39" s="704"/>
      <c r="POB39" s="704"/>
      <c r="POC39" s="704"/>
      <c r="POD39" s="704"/>
      <c r="POE39" s="704"/>
      <c r="POF39" s="704"/>
      <c r="POG39" s="704"/>
      <c r="POH39" s="704"/>
      <c r="POI39" s="704"/>
      <c r="POJ39" s="704"/>
      <c r="POK39" s="704"/>
      <c r="POL39" s="704"/>
      <c r="POM39" s="704"/>
      <c r="PON39" s="704"/>
      <c r="POO39" s="704"/>
      <c r="POP39" s="704"/>
      <c r="POQ39" s="704"/>
      <c r="POR39" s="704"/>
      <c r="POS39" s="704"/>
      <c r="POT39" s="704"/>
      <c r="POU39" s="704"/>
      <c r="POV39" s="704"/>
      <c r="POW39" s="704"/>
      <c r="POX39" s="704"/>
      <c r="POY39" s="704"/>
      <c r="POZ39" s="704"/>
      <c r="PPA39" s="704"/>
      <c r="PPB39" s="704"/>
      <c r="PPC39" s="704"/>
      <c r="PPD39" s="704"/>
      <c r="PPE39" s="704"/>
      <c r="PPF39" s="704"/>
      <c r="PPG39" s="704"/>
      <c r="PPH39" s="704"/>
      <c r="PPI39" s="704"/>
      <c r="PPJ39" s="704"/>
      <c r="PPK39" s="704"/>
      <c r="PPL39" s="704"/>
      <c r="PPM39" s="704"/>
      <c r="PPN39" s="704"/>
      <c r="PPO39" s="704"/>
      <c r="PPP39" s="704"/>
      <c r="PPQ39" s="704"/>
      <c r="PPR39" s="704"/>
      <c r="PPS39" s="704"/>
      <c r="PPT39" s="704"/>
      <c r="PPU39" s="704"/>
      <c r="PPV39" s="704"/>
      <c r="PPW39" s="704"/>
      <c r="PPX39" s="704"/>
      <c r="PPY39" s="704"/>
      <c r="PPZ39" s="704"/>
      <c r="PQA39" s="704"/>
      <c r="PQB39" s="704"/>
      <c r="PQC39" s="704"/>
      <c r="PQD39" s="704"/>
      <c r="PQE39" s="704"/>
      <c r="PQF39" s="704"/>
      <c r="PQG39" s="704"/>
      <c r="PQH39" s="704"/>
      <c r="PQI39" s="704"/>
      <c r="PQJ39" s="704"/>
      <c r="PQK39" s="704"/>
      <c r="PQL39" s="704"/>
      <c r="PQM39" s="704"/>
      <c r="PQN39" s="704"/>
      <c r="PQO39" s="704"/>
      <c r="PQP39" s="704"/>
      <c r="PQQ39" s="704"/>
      <c r="PQR39" s="704"/>
      <c r="PQS39" s="704"/>
      <c r="PQT39" s="704"/>
      <c r="PQU39" s="704"/>
      <c r="PQV39" s="704"/>
      <c r="PQW39" s="704"/>
      <c r="PQX39" s="704"/>
      <c r="PQY39" s="704"/>
      <c r="PQZ39" s="704"/>
      <c r="PRA39" s="704"/>
      <c r="PRB39" s="704"/>
      <c r="PRC39" s="704"/>
      <c r="PRD39" s="704"/>
      <c r="PRE39" s="704"/>
      <c r="PRF39" s="704"/>
      <c r="PRG39" s="704"/>
      <c r="PRH39" s="704"/>
      <c r="PRI39" s="704"/>
      <c r="PRJ39" s="704"/>
      <c r="PRK39" s="704"/>
      <c r="PRL39" s="704"/>
      <c r="PRM39" s="704"/>
      <c r="PRN39" s="704"/>
      <c r="PRO39" s="704"/>
      <c r="PRP39" s="704"/>
      <c r="PRQ39" s="704"/>
      <c r="PRR39" s="704"/>
      <c r="PRS39" s="704"/>
      <c r="PRT39" s="704"/>
      <c r="PRU39" s="704"/>
      <c r="PRV39" s="704"/>
      <c r="PRW39" s="704"/>
      <c r="PRX39" s="704"/>
      <c r="PRY39" s="704"/>
      <c r="PRZ39" s="704"/>
      <c r="PSA39" s="704"/>
      <c r="PSB39" s="704"/>
      <c r="PSC39" s="704"/>
      <c r="PSD39" s="704"/>
      <c r="PSE39" s="704"/>
      <c r="PSF39" s="704"/>
      <c r="PSG39" s="704"/>
      <c r="PSH39" s="704"/>
      <c r="PSI39" s="704"/>
      <c r="PSJ39" s="704"/>
      <c r="PSK39" s="704"/>
      <c r="PSL39" s="704"/>
      <c r="PSM39" s="704"/>
      <c r="PSN39" s="704"/>
      <c r="PSO39" s="704"/>
      <c r="PSP39" s="704"/>
      <c r="PSQ39" s="704"/>
      <c r="PSR39" s="704"/>
      <c r="PSS39" s="704"/>
      <c r="PST39" s="704"/>
      <c r="PSU39" s="704"/>
      <c r="PSV39" s="704"/>
      <c r="PSW39" s="704"/>
      <c r="PSX39" s="704"/>
      <c r="PSY39" s="704"/>
      <c r="PSZ39" s="704"/>
      <c r="PTA39" s="704"/>
      <c r="PTB39" s="704"/>
      <c r="PTC39" s="704"/>
      <c r="PTD39" s="704"/>
      <c r="PTE39" s="704"/>
      <c r="PTF39" s="704"/>
      <c r="PTG39" s="704"/>
      <c r="PTH39" s="704"/>
      <c r="PTI39" s="704"/>
      <c r="PTJ39" s="704"/>
      <c r="PTK39" s="704"/>
      <c r="PTL39" s="704"/>
      <c r="PTM39" s="704"/>
      <c r="PTN39" s="704"/>
      <c r="PTO39" s="704"/>
      <c r="PTP39" s="704"/>
      <c r="PTQ39" s="704"/>
      <c r="PTR39" s="704"/>
      <c r="PTS39" s="704"/>
      <c r="PTT39" s="704"/>
      <c r="PTU39" s="704"/>
      <c r="PTV39" s="704"/>
      <c r="PTW39" s="704"/>
      <c r="PTX39" s="704"/>
      <c r="PTY39" s="704"/>
      <c r="PTZ39" s="704"/>
      <c r="PUA39" s="704"/>
      <c r="PUB39" s="704"/>
      <c r="PUC39" s="704"/>
      <c r="PUD39" s="704"/>
      <c r="PUE39" s="704"/>
      <c r="PUF39" s="704"/>
      <c r="PUG39" s="704"/>
      <c r="PUH39" s="704"/>
      <c r="PUI39" s="704"/>
      <c r="PUJ39" s="704"/>
      <c r="PUK39" s="704"/>
      <c r="PUL39" s="704"/>
      <c r="PUM39" s="704"/>
      <c r="PUN39" s="704"/>
      <c r="PUO39" s="704"/>
      <c r="PUP39" s="704"/>
      <c r="PUQ39" s="704"/>
      <c r="PUR39" s="704"/>
      <c r="PUS39" s="704"/>
      <c r="PUT39" s="704"/>
      <c r="PUU39" s="704"/>
      <c r="PUV39" s="704"/>
      <c r="PUW39" s="704"/>
      <c r="PUX39" s="704"/>
      <c r="PUY39" s="704"/>
      <c r="PUZ39" s="704"/>
      <c r="PVA39" s="704"/>
      <c r="PVB39" s="704"/>
      <c r="PVC39" s="704"/>
      <c r="PVD39" s="704"/>
      <c r="PVE39" s="704"/>
      <c r="PVF39" s="704"/>
      <c r="PVG39" s="704"/>
      <c r="PVH39" s="704"/>
      <c r="PVI39" s="704"/>
      <c r="PVJ39" s="704"/>
      <c r="PVK39" s="704"/>
      <c r="PVL39" s="704"/>
      <c r="PVM39" s="704"/>
      <c r="PVN39" s="704"/>
      <c r="PVO39" s="704"/>
      <c r="PVP39" s="704"/>
      <c r="PVQ39" s="704"/>
      <c r="PVR39" s="704"/>
      <c r="PVS39" s="704"/>
      <c r="PVT39" s="704"/>
      <c r="PVU39" s="704"/>
      <c r="PVV39" s="704"/>
      <c r="PVW39" s="704"/>
      <c r="PVX39" s="704"/>
      <c r="PVY39" s="704"/>
      <c r="PVZ39" s="704"/>
      <c r="PWA39" s="704"/>
      <c r="PWB39" s="704"/>
      <c r="PWC39" s="704"/>
      <c r="PWD39" s="704"/>
      <c r="PWE39" s="704"/>
      <c r="PWF39" s="704"/>
      <c r="PWG39" s="704"/>
      <c r="PWH39" s="704"/>
      <c r="PWI39" s="704"/>
      <c r="PWJ39" s="704"/>
      <c r="PWK39" s="704"/>
      <c r="PWL39" s="704"/>
      <c r="PWM39" s="704"/>
      <c r="PWN39" s="704"/>
      <c r="PWO39" s="704"/>
      <c r="PWP39" s="704"/>
      <c r="PWQ39" s="704"/>
      <c r="PWR39" s="704"/>
      <c r="PWS39" s="704"/>
      <c r="PWT39" s="704"/>
      <c r="PWU39" s="704"/>
      <c r="PWV39" s="704"/>
      <c r="PWW39" s="704"/>
      <c r="PWX39" s="704"/>
      <c r="PWY39" s="704"/>
      <c r="PWZ39" s="704"/>
      <c r="PXA39" s="704"/>
      <c r="PXB39" s="704"/>
      <c r="PXC39" s="704"/>
      <c r="PXD39" s="704"/>
      <c r="PXE39" s="704"/>
      <c r="PXF39" s="704"/>
      <c r="PXG39" s="704"/>
      <c r="PXH39" s="704"/>
      <c r="PXI39" s="704"/>
      <c r="PXJ39" s="704"/>
      <c r="PXK39" s="704"/>
      <c r="PXL39" s="704"/>
      <c r="PXM39" s="704"/>
      <c r="PXN39" s="704"/>
      <c r="PXO39" s="704"/>
      <c r="PXP39" s="704"/>
      <c r="PXQ39" s="704"/>
      <c r="PXR39" s="704"/>
      <c r="PXS39" s="704"/>
      <c r="PXT39" s="704"/>
      <c r="PXU39" s="704"/>
      <c r="PXV39" s="704"/>
      <c r="PXW39" s="704"/>
      <c r="PXX39" s="704"/>
      <c r="PXY39" s="704"/>
      <c r="PXZ39" s="704"/>
      <c r="PYA39" s="704"/>
      <c r="PYB39" s="704"/>
      <c r="PYC39" s="704"/>
      <c r="PYD39" s="704"/>
      <c r="PYE39" s="704"/>
      <c r="PYF39" s="704"/>
      <c r="PYG39" s="704"/>
      <c r="PYH39" s="704"/>
      <c r="PYI39" s="704"/>
      <c r="PYJ39" s="704"/>
      <c r="PYK39" s="704"/>
      <c r="PYL39" s="704"/>
      <c r="PYM39" s="704"/>
      <c r="PYN39" s="704"/>
      <c r="PYO39" s="704"/>
      <c r="PYP39" s="704"/>
      <c r="PYQ39" s="704"/>
      <c r="PYR39" s="704"/>
      <c r="PYS39" s="704"/>
      <c r="PYT39" s="704"/>
      <c r="PYU39" s="704"/>
      <c r="PYV39" s="704"/>
      <c r="PYW39" s="704"/>
      <c r="PYX39" s="704"/>
      <c r="PYY39" s="704"/>
      <c r="PYZ39" s="704"/>
      <c r="PZA39" s="704"/>
      <c r="PZB39" s="704"/>
      <c r="PZC39" s="704"/>
      <c r="PZD39" s="704"/>
      <c r="PZE39" s="704"/>
      <c r="PZF39" s="704"/>
      <c r="PZG39" s="704"/>
      <c r="PZH39" s="704"/>
      <c r="PZI39" s="704"/>
      <c r="PZJ39" s="704"/>
      <c r="PZK39" s="704"/>
      <c r="PZL39" s="704"/>
      <c r="PZM39" s="704"/>
      <c r="PZN39" s="704"/>
      <c r="PZO39" s="704"/>
      <c r="PZP39" s="704"/>
      <c r="PZQ39" s="704"/>
      <c r="PZR39" s="704"/>
      <c r="PZS39" s="704"/>
      <c r="PZT39" s="704"/>
      <c r="PZU39" s="704"/>
      <c r="PZV39" s="704"/>
      <c r="PZW39" s="704"/>
      <c r="PZX39" s="704"/>
      <c r="PZY39" s="704"/>
      <c r="PZZ39" s="704"/>
      <c r="QAA39" s="704"/>
      <c r="QAB39" s="704"/>
      <c r="QAC39" s="704"/>
      <c r="QAD39" s="704"/>
      <c r="QAE39" s="704"/>
      <c r="QAF39" s="704"/>
      <c r="QAG39" s="704"/>
      <c r="QAH39" s="704"/>
      <c r="QAI39" s="704"/>
      <c r="QAJ39" s="704"/>
      <c r="QAK39" s="704"/>
      <c r="QAL39" s="704"/>
      <c r="QAM39" s="704"/>
      <c r="QAN39" s="704"/>
      <c r="QAO39" s="704"/>
      <c r="QAP39" s="704"/>
      <c r="QAQ39" s="704"/>
      <c r="QAR39" s="704"/>
      <c r="QAS39" s="704"/>
      <c r="QAT39" s="704"/>
      <c r="QAU39" s="704"/>
      <c r="QAV39" s="704"/>
      <c r="QAW39" s="704"/>
      <c r="QAX39" s="704"/>
      <c r="QAY39" s="704"/>
      <c r="QAZ39" s="704"/>
      <c r="QBA39" s="704"/>
      <c r="QBB39" s="704"/>
      <c r="QBC39" s="704"/>
      <c r="QBD39" s="704"/>
      <c r="QBE39" s="704"/>
      <c r="QBF39" s="704"/>
      <c r="QBG39" s="704"/>
      <c r="QBH39" s="704"/>
      <c r="QBI39" s="704"/>
      <c r="QBJ39" s="704"/>
      <c r="QBK39" s="704"/>
      <c r="QBL39" s="704"/>
      <c r="QBM39" s="704"/>
      <c r="QBN39" s="704"/>
      <c r="QBO39" s="704"/>
      <c r="QBP39" s="704"/>
      <c r="QBQ39" s="704"/>
      <c r="QBR39" s="704"/>
      <c r="QBS39" s="704"/>
      <c r="QBT39" s="704"/>
      <c r="QBU39" s="704"/>
      <c r="QBV39" s="704"/>
      <c r="QBW39" s="704"/>
      <c r="QBX39" s="704"/>
      <c r="QBY39" s="704"/>
      <c r="QBZ39" s="704"/>
      <c r="QCA39" s="704"/>
      <c r="QCB39" s="704"/>
      <c r="QCC39" s="704"/>
      <c r="QCD39" s="704"/>
      <c r="QCE39" s="704"/>
      <c r="QCF39" s="704"/>
      <c r="QCG39" s="704"/>
      <c r="QCH39" s="704"/>
      <c r="QCI39" s="704"/>
      <c r="QCJ39" s="704"/>
      <c r="QCK39" s="704"/>
      <c r="QCL39" s="704"/>
      <c r="QCM39" s="704"/>
      <c r="QCN39" s="704"/>
      <c r="QCO39" s="704"/>
      <c r="QCP39" s="704"/>
      <c r="QCQ39" s="704"/>
      <c r="QCR39" s="704"/>
      <c r="QCS39" s="704"/>
      <c r="QCT39" s="704"/>
      <c r="QCU39" s="704"/>
      <c r="QCV39" s="704"/>
      <c r="QCW39" s="704"/>
      <c r="QCX39" s="704"/>
      <c r="QCY39" s="704"/>
      <c r="QCZ39" s="704"/>
      <c r="QDA39" s="704"/>
      <c r="QDB39" s="704"/>
      <c r="QDC39" s="704"/>
      <c r="QDD39" s="704"/>
      <c r="QDE39" s="704"/>
      <c r="QDF39" s="704"/>
      <c r="QDG39" s="704"/>
      <c r="QDH39" s="704"/>
      <c r="QDI39" s="704"/>
      <c r="QDJ39" s="704"/>
      <c r="QDK39" s="704"/>
      <c r="QDL39" s="704"/>
      <c r="QDM39" s="704"/>
      <c r="QDN39" s="704"/>
      <c r="QDO39" s="704"/>
      <c r="QDP39" s="704"/>
      <c r="QDQ39" s="704"/>
      <c r="QDR39" s="704"/>
      <c r="QDS39" s="704"/>
      <c r="QDT39" s="704"/>
      <c r="QDU39" s="704"/>
      <c r="QDV39" s="704"/>
      <c r="QDW39" s="704"/>
      <c r="QDX39" s="704"/>
      <c r="QDY39" s="704"/>
      <c r="QDZ39" s="704"/>
      <c r="QEA39" s="704"/>
      <c r="QEB39" s="704"/>
      <c r="QEC39" s="704"/>
      <c r="QED39" s="704"/>
      <c r="QEE39" s="704"/>
      <c r="QEF39" s="704"/>
      <c r="QEG39" s="704"/>
      <c r="QEH39" s="704"/>
      <c r="QEI39" s="704"/>
      <c r="QEJ39" s="704"/>
      <c r="QEK39" s="704"/>
      <c r="QEL39" s="704"/>
      <c r="QEM39" s="704"/>
      <c r="QEN39" s="704"/>
      <c r="QEO39" s="704"/>
      <c r="QEP39" s="704"/>
      <c r="QEQ39" s="704"/>
      <c r="QER39" s="704"/>
      <c r="QES39" s="704"/>
      <c r="QET39" s="704"/>
      <c r="QEU39" s="704"/>
      <c r="QEV39" s="704"/>
      <c r="QEW39" s="704"/>
      <c r="QEX39" s="704"/>
      <c r="QEY39" s="704"/>
      <c r="QEZ39" s="704"/>
      <c r="QFA39" s="704"/>
      <c r="QFB39" s="704"/>
      <c r="QFC39" s="704"/>
      <c r="QFD39" s="704"/>
      <c r="QFE39" s="704"/>
      <c r="QFF39" s="704"/>
      <c r="QFG39" s="704"/>
      <c r="QFH39" s="704"/>
      <c r="QFI39" s="704"/>
      <c r="QFJ39" s="704"/>
      <c r="QFK39" s="704"/>
      <c r="QFL39" s="704"/>
      <c r="QFM39" s="704"/>
      <c r="QFN39" s="704"/>
      <c r="QFO39" s="704"/>
      <c r="QFP39" s="704"/>
      <c r="QFQ39" s="704"/>
      <c r="QFR39" s="704"/>
      <c r="QFS39" s="704"/>
      <c r="QFT39" s="704"/>
      <c r="QFU39" s="704"/>
      <c r="QFV39" s="704"/>
      <c r="QFW39" s="704"/>
      <c r="QFX39" s="704"/>
      <c r="QFY39" s="704"/>
      <c r="QFZ39" s="704"/>
      <c r="QGA39" s="704"/>
      <c r="QGB39" s="704"/>
      <c r="QGC39" s="704"/>
      <c r="QGD39" s="704"/>
      <c r="QGE39" s="704"/>
      <c r="QGF39" s="704"/>
      <c r="QGG39" s="704"/>
      <c r="QGH39" s="704"/>
      <c r="QGI39" s="704"/>
      <c r="QGJ39" s="704"/>
      <c r="QGK39" s="704"/>
      <c r="QGL39" s="704"/>
      <c r="QGM39" s="704"/>
      <c r="QGN39" s="704"/>
      <c r="QGO39" s="704"/>
      <c r="QGP39" s="704"/>
      <c r="QGQ39" s="704"/>
      <c r="QGR39" s="704"/>
      <c r="QGS39" s="704"/>
      <c r="QGT39" s="704"/>
      <c r="QGU39" s="704"/>
      <c r="QGV39" s="704"/>
      <c r="QGW39" s="704"/>
      <c r="QGX39" s="704"/>
      <c r="QGY39" s="704"/>
      <c r="QGZ39" s="704"/>
      <c r="QHA39" s="704"/>
      <c r="QHB39" s="704"/>
      <c r="QHC39" s="704"/>
      <c r="QHD39" s="704"/>
      <c r="QHE39" s="704"/>
      <c r="QHF39" s="704"/>
      <c r="QHG39" s="704"/>
      <c r="QHH39" s="704"/>
      <c r="QHI39" s="704"/>
      <c r="QHJ39" s="704"/>
      <c r="QHK39" s="704"/>
      <c r="QHL39" s="704"/>
      <c r="QHM39" s="704"/>
      <c r="QHN39" s="704"/>
      <c r="QHO39" s="704"/>
      <c r="QHP39" s="704"/>
      <c r="QHQ39" s="704"/>
      <c r="QHR39" s="704"/>
      <c r="QHS39" s="704"/>
      <c r="QHT39" s="704"/>
      <c r="QHU39" s="704"/>
      <c r="QHV39" s="704"/>
      <c r="QHW39" s="704"/>
      <c r="QHX39" s="704"/>
      <c r="QHY39" s="704"/>
      <c r="QHZ39" s="704"/>
      <c r="QIA39" s="704"/>
      <c r="QIB39" s="704"/>
      <c r="QIC39" s="704"/>
      <c r="QID39" s="704"/>
      <c r="QIE39" s="704"/>
      <c r="QIF39" s="704"/>
      <c r="QIG39" s="704"/>
      <c r="QIH39" s="704"/>
      <c r="QII39" s="704"/>
      <c r="QIJ39" s="704"/>
      <c r="QIK39" s="704"/>
      <c r="QIL39" s="704"/>
      <c r="QIM39" s="704"/>
      <c r="QIN39" s="704"/>
      <c r="QIO39" s="704"/>
      <c r="QIP39" s="704"/>
      <c r="QIQ39" s="704"/>
      <c r="QIR39" s="704"/>
      <c r="QIS39" s="704"/>
      <c r="QIT39" s="704"/>
      <c r="QIU39" s="704"/>
      <c r="QIV39" s="704"/>
      <c r="QIW39" s="704"/>
      <c r="QIX39" s="704"/>
      <c r="QIY39" s="704"/>
      <c r="QIZ39" s="704"/>
      <c r="QJA39" s="704"/>
      <c r="QJB39" s="704"/>
      <c r="QJC39" s="704"/>
      <c r="QJD39" s="704"/>
      <c r="QJE39" s="704"/>
      <c r="QJF39" s="704"/>
      <c r="QJG39" s="704"/>
      <c r="QJH39" s="704"/>
      <c r="QJI39" s="704"/>
      <c r="QJJ39" s="704"/>
      <c r="QJK39" s="704"/>
      <c r="QJL39" s="704"/>
      <c r="QJM39" s="704"/>
      <c r="QJN39" s="704"/>
      <c r="QJO39" s="704"/>
      <c r="QJP39" s="704"/>
      <c r="QJQ39" s="704"/>
      <c r="QJR39" s="704"/>
      <c r="QJS39" s="704"/>
      <c r="QJT39" s="704"/>
      <c r="QJU39" s="704"/>
      <c r="QJV39" s="704"/>
      <c r="QJW39" s="704"/>
      <c r="QJX39" s="704"/>
      <c r="QJY39" s="704"/>
      <c r="QJZ39" s="704"/>
      <c r="QKA39" s="704"/>
      <c r="QKB39" s="704"/>
      <c r="QKC39" s="704"/>
      <c r="QKD39" s="704"/>
      <c r="QKE39" s="704"/>
      <c r="QKF39" s="704"/>
      <c r="QKG39" s="704"/>
      <c r="QKH39" s="704"/>
      <c r="QKI39" s="704"/>
      <c r="QKJ39" s="704"/>
      <c r="QKK39" s="704"/>
      <c r="QKL39" s="704"/>
      <c r="QKM39" s="704"/>
      <c r="QKN39" s="704"/>
      <c r="QKO39" s="704"/>
      <c r="QKP39" s="704"/>
      <c r="QKQ39" s="704"/>
      <c r="QKR39" s="704"/>
      <c r="QKS39" s="704"/>
      <c r="QKT39" s="704"/>
      <c r="QKU39" s="704"/>
      <c r="QKV39" s="704"/>
      <c r="QKW39" s="704"/>
      <c r="QKX39" s="704"/>
      <c r="QKY39" s="704"/>
      <c r="QKZ39" s="704"/>
      <c r="QLA39" s="704"/>
      <c r="QLB39" s="704"/>
      <c r="QLC39" s="704"/>
      <c r="QLD39" s="704"/>
      <c r="QLE39" s="704"/>
      <c r="QLF39" s="704"/>
      <c r="QLG39" s="704"/>
      <c r="QLH39" s="704"/>
      <c r="QLI39" s="704"/>
      <c r="QLJ39" s="704"/>
      <c r="QLK39" s="704"/>
      <c r="QLL39" s="704"/>
      <c r="QLM39" s="704"/>
      <c r="QLN39" s="704"/>
      <c r="QLO39" s="704"/>
      <c r="QLP39" s="704"/>
      <c r="QLQ39" s="704"/>
      <c r="QLR39" s="704"/>
      <c r="QLS39" s="704"/>
      <c r="QLT39" s="704"/>
      <c r="QLU39" s="704"/>
      <c r="QLV39" s="704"/>
      <c r="QLW39" s="704"/>
      <c r="QLX39" s="704"/>
      <c r="QLY39" s="704"/>
      <c r="QLZ39" s="704"/>
      <c r="QMA39" s="704"/>
      <c r="QMB39" s="704"/>
      <c r="QMC39" s="704"/>
      <c r="QMD39" s="704"/>
      <c r="QME39" s="704"/>
      <c r="QMF39" s="704"/>
      <c r="QMG39" s="704"/>
      <c r="QMH39" s="704"/>
      <c r="QMI39" s="704"/>
      <c r="QMJ39" s="704"/>
      <c r="QMK39" s="704"/>
      <c r="QML39" s="704"/>
      <c r="QMM39" s="704"/>
      <c r="QMN39" s="704"/>
      <c r="QMO39" s="704"/>
      <c r="QMP39" s="704"/>
      <c r="QMQ39" s="704"/>
      <c r="QMR39" s="704"/>
      <c r="QMS39" s="704"/>
      <c r="QMT39" s="704"/>
      <c r="QMU39" s="704"/>
      <c r="QMV39" s="704"/>
      <c r="QMW39" s="704"/>
      <c r="QMX39" s="704"/>
      <c r="QMY39" s="704"/>
      <c r="QMZ39" s="704"/>
      <c r="QNA39" s="704"/>
      <c r="QNB39" s="704"/>
      <c r="QNC39" s="704"/>
      <c r="QND39" s="704"/>
      <c r="QNE39" s="704"/>
      <c r="QNF39" s="704"/>
      <c r="QNG39" s="704"/>
      <c r="QNH39" s="704"/>
      <c r="QNI39" s="704"/>
      <c r="QNJ39" s="704"/>
      <c r="QNK39" s="704"/>
      <c r="QNL39" s="704"/>
      <c r="QNM39" s="704"/>
      <c r="QNN39" s="704"/>
      <c r="QNO39" s="704"/>
      <c r="QNP39" s="704"/>
      <c r="QNQ39" s="704"/>
      <c r="QNR39" s="704"/>
      <c r="QNS39" s="704"/>
      <c r="QNT39" s="704"/>
      <c r="QNU39" s="704"/>
      <c r="QNV39" s="704"/>
      <c r="QNW39" s="704"/>
      <c r="QNX39" s="704"/>
      <c r="QNY39" s="704"/>
      <c r="QNZ39" s="704"/>
      <c r="QOA39" s="704"/>
      <c r="QOB39" s="704"/>
      <c r="QOC39" s="704"/>
      <c r="QOD39" s="704"/>
      <c r="QOE39" s="704"/>
      <c r="QOF39" s="704"/>
      <c r="QOG39" s="704"/>
      <c r="QOH39" s="704"/>
      <c r="QOI39" s="704"/>
      <c r="QOJ39" s="704"/>
      <c r="QOK39" s="704"/>
      <c r="QOL39" s="704"/>
      <c r="QOM39" s="704"/>
      <c r="QON39" s="704"/>
      <c r="QOO39" s="704"/>
      <c r="QOP39" s="704"/>
      <c r="QOQ39" s="704"/>
      <c r="QOR39" s="704"/>
      <c r="QOS39" s="704"/>
      <c r="QOT39" s="704"/>
      <c r="QOU39" s="704"/>
      <c r="QOV39" s="704"/>
      <c r="QOW39" s="704"/>
      <c r="QOX39" s="704"/>
      <c r="QOY39" s="704"/>
      <c r="QOZ39" s="704"/>
      <c r="QPA39" s="704"/>
      <c r="QPB39" s="704"/>
      <c r="QPC39" s="704"/>
      <c r="QPD39" s="704"/>
      <c r="QPE39" s="704"/>
      <c r="QPF39" s="704"/>
      <c r="QPG39" s="704"/>
      <c r="QPH39" s="704"/>
      <c r="QPI39" s="704"/>
      <c r="QPJ39" s="704"/>
      <c r="QPK39" s="704"/>
      <c r="QPL39" s="704"/>
      <c r="QPM39" s="704"/>
      <c r="QPN39" s="704"/>
      <c r="QPO39" s="704"/>
      <c r="QPP39" s="704"/>
      <c r="QPQ39" s="704"/>
      <c r="QPR39" s="704"/>
      <c r="QPS39" s="704"/>
      <c r="QPT39" s="704"/>
      <c r="QPU39" s="704"/>
      <c r="QPV39" s="704"/>
      <c r="QPW39" s="704"/>
      <c r="QPX39" s="704"/>
      <c r="QPY39" s="704"/>
      <c r="QPZ39" s="704"/>
      <c r="QQA39" s="704"/>
      <c r="QQB39" s="704"/>
      <c r="QQC39" s="704"/>
      <c r="QQD39" s="704"/>
      <c r="QQE39" s="704"/>
      <c r="QQF39" s="704"/>
      <c r="QQG39" s="704"/>
      <c r="QQH39" s="704"/>
      <c r="QQI39" s="704"/>
      <c r="QQJ39" s="704"/>
      <c r="QQK39" s="704"/>
      <c r="QQL39" s="704"/>
      <c r="QQM39" s="704"/>
      <c r="QQN39" s="704"/>
      <c r="QQO39" s="704"/>
      <c r="QQP39" s="704"/>
      <c r="QQQ39" s="704"/>
      <c r="QQR39" s="704"/>
      <c r="QQS39" s="704"/>
      <c r="QQT39" s="704"/>
      <c r="QQU39" s="704"/>
      <c r="QQV39" s="704"/>
      <c r="QQW39" s="704"/>
      <c r="QQX39" s="704"/>
      <c r="QQY39" s="704"/>
      <c r="QQZ39" s="704"/>
      <c r="QRA39" s="704"/>
      <c r="QRB39" s="704"/>
      <c r="QRC39" s="704"/>
      <c r="QRD39" s="704"/>
      <c r="QRE39" s="704"/>
      <c r="QRF39" s="704"/>
      <c r="QRG39" s="704"/>
      <c r="QRH39" s="704"/>
      <c r="QRI39" s="704"/>
      <c r="QRJ39" s="704"/>
      <c r="QRK39" s="704"/>
      <c r="QRL39" s="704"/>
      <c r="QRM39" s="704"/>
      <c r="QRN39" s="704"/>
      <c r="QRO39" s="704"/>
      <c r="QRP39" s="704"/>
      <c r="QRQ39" s="704"/>
      <c r="QRR39" s="704"/>
      <c r="QRS39" s="704"/>
      <c r="QRT39" s="704"/>
      <c r="QRU39" s="704"/>
      <c r="QRV39" s="704"/>
      <c r="QRW39" s="704"/>
      <c r="QRX39" s="704"/>
      <c r="QRY39" s="704"/>
      <c r="QRZ39" s="704"/>
      <c r="QSA39" s="704"/>
      <c r="QSB39" s="704"/>
      <c r="QSC39" s="704"/>
      <c r="QSD39" s="704"/>
      <c r="QSE39" s="704"/>
      <c r="QSF39" s="704"/>
      <c r="QSG39" s="704"/>
      <c r="QSH39" s="704"/>
      <c r="QSI39" s="704"/>
      <c r="QSJ39" s="704"/>
      <c r="QSK39" s="704"/>
      <c r="QSL39" s="704"/>
      <c r="QSM39" s="704"/>
      <c r="QSN39" s="704"/>
      <c r="QSO39" s="704"/>
      <c r="QSP39" s="704"/>
      <c r="QSQ39" s="704"/>
      <c r="QSR39" s="704"/>
      <c r="QSS39" s="704"/>
      <c r="QST39" s="704"/>
      <c r="QSU39" s="704"/>
      <c r="QSV39" s="704"/>
      <c r="QSW39" s="704"/>
      <c r="QSX39" s="704"/>
      <c r="QSY39" s="704"/>
      <c r="QSZ39" s="704"/>
      <c r="QTA39" s="704"/>
      <c r="QTB39" s="704"/>
      <c r="QTC39" s="704"/>
      <c r="QTD39" s="704"/>
      <c r="QTE39" s="704"/>
      <c r="QTF39" s="704"/>
      <c r="QTG39" s="704"/>
      <c r="QTH39" s="704"/>
      <c r="QTI39" s="704"/>
      <c r="QTJ39" s="704"/>
      <c r="QTK39" s="704"/>
      <c r="QTL39" s="704"/>
      <c r="QTM39" s="704"/>
      <c r="QTN39" s="704"/>
      <c r="QTO39" s="704"/>
      <c r="QTP39" s="704"/>
      <c r="QTQ39" s="704"/>
      <c r="QTR39" s="704"/>
      <c r="QTS39" s="704"/>
      <c r="QTT39" s="704"/>
      <c r="QTU39" s="704"/>
      <c r="QTV39" s="704"/>
      <c r="QTW39" s="704"/>
      <c r="QTX39" s="704"/>
      <c r="QTY39" s="704"/>
      <c r="QTZ39" s="704"/>
      <c r="QUA39" s="704"/>
      <c r="QUB39" s="704"/>
      <c r="QUC39" s="704"/>
      <c r="QUD39" s="704"/>
      <c r="QUE39" s="704"/>
      <c r="QUF39" s="704"/>
      <c r="QUG39" s="704"/>
      <c r="QUH39" s="704"/>
      <c r="QUI39" s="704"/>
      <c r="QUJ39" s="704"/>
      <c r="QUK39" s="704"/>
      <c r="QUL39" s="704"/>
      <c r="QUM39" s="704"/>
      <c r="QUN39" s="704"/>
      <c r="QUO39" s="704"/>
      <c r="QUP39" s="704"/>
      <c r="QUQ39" s="704"/>
      <c r="QUR39" s="704"/>
      <c r="QUS39" s="704"/>
      <c r="QUT39" s="704"/>
      <c r="QUU39" s="704"/>
      <c r="QUV39" s="704"/>
      <c r="QUW39" s="704"/>
      <c r="QUX39" s="704"/>
      <c r="QUY39" s="704"/>
      <c r="QUZ39" s="704"/>
      <c r="QVA39" s="704"/>
      <c r="QVB39" s="704"/>
      <c r="QVC39" s="704"/>
      <c r="QVD39" s="704"/>
      <c r="QVE39" s="704"/>
      <c r="QVF39" s="704"/>
      <c r="QVG39" s="704"/>
      <c r="QVH39" s="704"/>
      <c r="QVI39" s="704"/>
      <c r="QVJ39" s="704"/>
      <c r="QVK39" s="704"/>
      <c r="QVL39" s="704"/>
      <c r="QVM39" s="704"/>
      <c r="QVN39" s="704"/>
      <c r="QVO39" s="704"/>
      <c r="QVP39" s="704"/>
      <c r="QVQ39" s="704"/>
      <c r="QVR39" s="704"/>
      <c r="QVS39" s="704"/>
      <c r="QVT39" s="704"/>
      <c r="QVU39" s="704"/>
      <c r="QVV39" s="704"/>
      <c r="QVW39" s="704"/>
      <c r="QVX39" s="704"/>
      <c r="QVY39" s="704"/>
      <c r="QVZ39" s="704"/>
      <c r="QWA39" s="704"/>
      <c r="QWB39" s="704"/>
      <c r="QWC39" s="704"/>
      <c r="QWD39" s="704"/>
      <c r="QWE39" s="704"/>
      <c r="QWF39" s="704"/>
      <c r="QWG39" s="704"/>
      <c r="QWH39" s="704"/>
      <c r="QWI39" s="704"/>
      <c r="QWJ39" s="704"/>
      <c r="QWK39" s="704"/>
      <c r="QWL39" s="704"/>
      <c r="QWM39" s="704"/>
      <c r="QWN39" s="704"/>
      <c r="QWO39" s="704"/>
      <c r="QWP39" s="704"/>
      <c r="QWQ39" s="704"/>
      <c r="QWR39" s="704"/>
      <c r="QWS39" s="704"/>
      <c r="QWT39" s="704"/>
      <c r="QWU39" s="704"/>
      <c r="QWV39" s="704"/>
      <c r="QWW39" s="704"/>
      <c r="QWX39" s="704"/>
      <c r="QWY39" s="704"/>
      <c r="QWZ39" s="704"/>
      <c r="QXA39" s="704"/>
      <c r="QXB39" s="704"/>
      <c r="QXC39" s="704"/>
      <c r="QXD39" s="704"/>
      <c r="QXE39" s="704"/>
      <c r="QXF39" s="704"/>
      <c r="QXG39" s="704"/>
      <c r="QXH39" s="704"/>
      <c r="QXI39" s="704"/>
      <c r="QXJ39" s="704"/>
      <c r="QXK39" s="704"/>
      <c r="QXL39" s="704"/>
      <c r="QXM39" s="704"/>
      <c r="QXN39" s="704"/>
      <c r="QXO39" s="704"/>
      <c r="QXP39" s="704"/>
      <c r="QXQ39" s="704"/>
      <c r="QXR39" s="704"/>
      <c r="QXS39" s="704"/>
      <c r="QXT39" s="704"/>
      <c r="QXU39" s="704"/>
      <c r="QXV39" s="704"/>
      <c r="QXW39" s="704"/>
      <c r="QXX39" s="704"/>
      <c r="QXY39" s="704"/>
      <c r="QXZ39" s="704"/>
      <c r="QYA39" s="704"/>
      <c r="QYB39" s="704"/>
      <c r="QYC39" s="704"/>
      <c r="QYD39" s="704"/>
      <c r="QYE39" s="704"/>
      <c r="QYF39" s="704"/>
      <c r="QYG39" s="704"/>
      <c r="QYH39" s="704"/>
      <c r="QYI39" s="704"/>
      <c r="QYJ39" s="704"/>
      <c r="QYK39" s="704"/>
      <c r="QYL39" s="704"/>
      <c r="QYM39" s="704"/>
      <c r="QYN39" s="704"/>
      <c r="QYO39" s="704"/>
      <c r="QYP39" s="704"/>
      <c r="QYQ39" s="704"/>
      <c r="QYR39" s="704"/>
      <c r="QYS39" s="704"/>
      <c r="QYT39" s="704"/>
      <c r="QYU39" s="704"/>
      <c r="QYV39" s="704"/>
      <c r="QYW39" s="704"/>
      <c r="QYX39" s="704"/>
      <c r="QYY39" s="704"/>
      <c r="QYZ39" s="704"/>
      <c r="QZA39" s="704"/>
      <c r="QZB39" s="704"/>
      <c r="QZC39" s="704"/>
      <c r="QZD39" s="704"/>
      <c r="QZE39" s="704"/>
      <c r="QZF39" s="704"/>
      <c r="QZG39" s="704"/>
      <c r="QZH39" s="704"/>
      <c r="QZI39" s="704"/>
      <c r="QZJ39" s="704"/>
      <c r="QZK39" s="704"/>
      <c r="QZL39" s="704"/>
      <c r="QZM39" s="704"/>
      <c r="QZN39" s="704"/>
      <c r="QZO39" s="704"/>
      <c r="QZP39" s="704"/>
      <c r="QZQ39" s="704"/>
      <c r="QZR39" s="704"/>
      <c r="QZS39" s="704"/>
      <c r="QZT39" s="704"/>
      <c r="QZU39" s="704"/>
      <c r="QZV39" s="704"/>
      <c r="QZW39" s="704"/>
      <c r="QZX39" s="704"/>
      <c r="QZY39" s="704"/>
      <c r="QZZ39" s="704"/>
      <c r="RAA39" s="704"/>
      <c r="RAB39" s="704"/>
      <c r="RAC39" s="704"/>
      <c r="RAD39" s="704"/>
      <c r="RAE39" s="704"/>
      <c r="RAF39" s="704"/>
      <c r="RAG39" s="704"/>
      <c r="RAH39" s="704"/>
      <c r="RAI39" s="704"/>
      <c r="RAJ39" s="704"/>
      <c r="RAK39" s="704"/>
      <c r="RAL39" s="704"/>
      <c r="RAM39" s="704"/>
      <c r="RAN39" s="704"/>
      <c r="RAO39" s="704"/>
      <c r="RAP39" s="704"/>
      <c r="RAQ39" s="704"/>
      <c r="RAR39" s="704"/>
      <c r="RAS39" s="704"/>
      <c r="RAT39" s="704"/>
      <c r="RAU39" s="704"/>
      <c r="RAV39" s="704"/>
      <c r="RAW39" s="704"/>
      <c r="RAX39" s="704"/>
      <c r="RAY39" s="704"/>
      <c r="RAZ39" s="704"/>
      <c r="RBA39" s="704"/>
      <c r="RBB39" s="704"/>
      <c r="RBC39" s="704"/>
      <c r="RBD39" s="704"/>
      <c r="RBE39" s="704"/>
      <c r="RBF39" s="704"/>
      <c r="RBG39" s="704"/>
      <c r="RBH39" s="704"/>
      <c r="RBI39" s="704"/>
      <c r="RBJ39" s="704"/>
      <c r="RBK39" s="704"/>
      <c r="RBL39" s="704"/>
      <c r="RBM39" s="704"/>
      <c r="RBN39" s="704"/>
      <c r="RBO39" s="704"/>
      <c r="RBP39" s="704"/>
      <c r="RBQ39" s="704"/>
      <c r="RBR39" s="704"/>
      <c r="RBS39" s="704"/>
      <c r="RBT39" s="704"/>
      <c r="RBU39" s="704"/>
      <c r="RBV39" s="704"/>
      <c r="RBW39" s="704"/>
      <c r="RBX39" s="704"/>
      <c r="RBY39" s="704"/>
      <c r="RBZ39" s="704"/>
      <c r="RCA39" s="704"/>
      <c r="RCB39" s="704"/>
      <c r="RCC39" s="704"/>
      <c r="RCD39" s="704"/>
      <c r="RCE39" s="704"/>
      <c r="RCF39" s="704"/>
      <c r="RCG39" s="704"/>
      <c r="RCH39" s="704"/>
      <c r="RCI39" s="704"/>
      <c r="RCJ39" s="704"/>
      <c r="RCK39" s="704"/>
      <c r="RCL39" s="704"/>
      <c r="RCM39" s="704"/>
      <c r="RCN39" s="704"/>
      <c r="RCO39" s="704"/>
      <c r="RCP39" s="704"/>
      <c r="RCQ39" s="704"/>
      <c r="RCR39" s="704"/>
      <c r="RCS39" s="704"/>
      <c r="RCT39" s="704"/>
      <c r="RCU39" s="704"/>
      <c r="RCV39" s="704"/>
      <c r="RCW39" s="704"/>
      <c r="RCX39" s="704"/>
      <c r="RCY39" s="704"/>
      <c r="RCZ39" s="704"/>
      <c r="RDA39" s="704"/>
      <c r="RDB39" s="704"/>
      <c r="RDC39" s="704"/>
      <c r="RDD39" s="704"/>
      <c r="RDE39" s="704"/>
      <c r="RDF39" s="704"/>
      <c r="RDG39" s="704"/>
      <c r="RDH39" s="704"/>
      <c r="RDI39" s="704"/>
      <c r="RDJ39" s="704"/>
      <c r="RDK39" s="704"/>
      <c r="RDL39" s="704"/>
      <c r="RDM39" s="704"/>
      <c r="RDN39" s="704"/>
      <c r="RDO39" s="704"/>
      <c r="RDP39" s="704"/>
      <c r="RDQ39" s="704"/>
      <c r="RDR39" s="704"/>
      <c r="RDS39" s="704"/>
      <c r="RDT39" s="704"/>
      <c r="RDU39" s="704"/>
      <c r="RDV39" s="704"/>
      <c r="RDW39" s="704"/>
      <c r="RDX39" s="704"/>
      <c r="RDY39" s="704"/>
      <c r="RDZ39" s="704"/>
      <c r="REA39" s="704"/>
      <c r="REB39" s="704"/>
      <c r="REC39" s="704"/>
      <c r="RED39" s="704"/>
      <c r="REE39" s="704"/>
      <c r="REF39" s="704"/>
      <c r="REG39" s="704"/>
      <c r="REH39" s="704"/>
      <c r="REI39" s="704"/>
      <c r="REJ39" s="704"/>
      <c r="REK39" s="704"/>
      <c r="REL39" s="704"/>
      <c r="REM39" s="704"/>
      <c r="REN39" s="704"/>
      <c r="REO39" s="704"/>
      <c r="REP39" s="704"/>
      <c r="REQ39" s="704"/>
      <c r="RER39" s="704"/>
      <c r="RES39" s="704"/>
      <c r="RET39" s="704"/>
      <c r="REU39" s="704"/>
      <c r="REV39" s="704"/>
      <c r="REW39" s="704"/>
      <c r="REX39" s="704"/>
      <c r="REY39" s="704"/>
      <c r="REZ39" s="704"/>
      <c r="RFA39" s="704"/>
      <c r="RFB39" s="704"/>
      <c r="RFC39" s="704"/>
      <c r="RFD39" s="704"/>
      <c r="RFE39" s="704"/>
      <c r="RFF39" s="704"/>
      <c r="RFG39" s="704"/>
      <c r="RFH39" s="704"/>
      <c r="RFI39" s="704"/>
      <c r="RFJ39" s="704"/>
      <c r="RFK39" s="704"/>
      <c r="RFL39" s="704"/>
      <c r="RFM39" s="704"/>
      <c r="RFN39" s="704"/>
      <c r="RFO39" s="704"/>
      <c r="RFP39" s="704"/>
      <c r="RFQ39" s="704"/>
      <c r="RFR39" s="704"/>
      <c r="RFS39" s="704"/>
      <c r="RFT39" s="704"/>
      <c r="RFU39" s="704"/>
      <c r="RFV39" s="704"/>
      <c r="RFW39" s="704"/>
      <c r="RFX39" s="704"/>
      <c r="RFY39" s="704"/>
      <c r="RFZ39" s="704"/>
      <c r="RGA39" s="704"/>
      <c r="RGB39" s="704"/>
      <c r="RGC39" s="704"/>
      <c r="RGD39" s="704"/>
      <c r="RGE39" s="704"/>
      <c r="RGF39" s="704"/>
      <c r="RGG39" s="704"/>
      <c r="RGH39" s="704"/>
      <c r="RGI39" s="704"/>
      <c r="RGJ39" s="704"/>
      <c r="RGK39" s="704"/>
      <c r="RGL39" s="704"/>
      <c r="RGM39" s="704"/>
      <c r="RGN39" s="704"/>
      <c r="RGO39" s="704"/>
      <c r="RGP39" s="704"/>
      <c r="RGQ39" s="704"/>
      <c r="RGR39" s="704"/>
      <c r="RGS39" s="704"/>
      <c r="RGT39" s="704"/>
      <c r="RGU39" s="704"/>
      <c r="RGV39" s="704"/>
      <c r="RGW39" s="704"/>
      <c r="RGX39" s="704"/>
      <c r="RGY39" s="704"/>
      <c r="RGZ39" s="704"/>
      <c r="RHA39" s="704"/>
      <c r="RHB39" s="704"/>
      <c r="RHC39" s="704"/>
      <c r="RHD39" s="704"/>
      <c r="RHE39" s="704"/>
      <c r="RHF39" s="704"/>
      <c r="RHG39" s="704"/>
      <c r="RHH39" s="704"/>
      <c r="RHI39" s="704"/>
      <c r="RHJ39" s="704"/>
      <c r="RHK39" s="704"/>
      <c r="RHL39" s="704"/>
      <c r="RHM39" s="704"/>
      <c r="RHN39" s="704"/>
      <c r="RHO39" s="704"/>
      <c r="RHP39" s="704"/>
      <c r="RHQ39" s="704"/>
      <c r="RHR39" s="704"/>
      <c r="RHS39" s="704"/>
      <c r="RHT39" s="704"/>
      <c r="RHU39" s="704"/>
      <c r="RHV39" s="704"/>
      <c r="RHW39" s="704"/>
      <c r="RHX39" s="704"/>
      <c r="RHY39" s="704"/>
      <c r="RHZ39" s="704"/>
      <c r="RIA39" s="704"/>
      <c r="RIB39" s="704"/>
      <c r="RIC39" s="704"/>
      <c r="RID39" s="704"/>
      <c r="RIE39" s="704"/>
      <c r="RIF39" s="704"/>
      <c r="RIG39" s="704"/>
      <c r="RIH39" s="704"/>
      <c r="RII39" s="704"/>
      <c r="RIJ39" s="704"/>
      <c r="RIK39" s="704"/>
      <c r="RIL39" s="704"/>
      <c r="RIM39" s="704"/>
      <c r="RIN39" s="704"/>
      <c r="RIO39" s="704"/>
      <c r="RIP39" s="704"/>
      <c r="RIQ39" s="704"/>
      <c r="RIR39" s="704"/>
      <c r="RIS39" s="704"/>
      <c r="RIT39" s="704"/>
      <c r="RIU39" s="704"/>
      <c r="RIV39" s="704"/>
      <c r="RIW39" s="704"/>
      <c r="RIX39" s="704"/>
      <c r="RIY39" s="704"/>
      <c r="RIZ39" s="704"/>
      <c r="RJA39" s="704"/>
      <c r="RJB39" s="704"/>
      <c r="RJC39" s="704"/>
      <c r="RJD39" s="704"/>
      <c r="RJE39" s="704"/>
      <c r="RJF39" s="704"/>
      <c r="RJG39" s="704"/>
      <c r="RJH39" s="704"/>
      <c r="RJI39" s="704"/>
      <c r="RJJ39" s="704"/>
      <c r="RJK39" s="704"/>
      <c r="RJL39" s="704"/>
      <c r="RJM39" s="704"/>
      <c r="RJN39" s="704"/>
      <c r="RJO39" s="704"/>
      <c r="RJP39" s="704"/>
      <c r="RJQ39" s="704"/>
      <c r="RJR39" s="704"/>
      <c r="RJS39" s="704"/>
      <c r="RJT39" s="704"/>
      <c r="RJU39" s="704"/>
      <c r="RJV39" s="704"/>
      <c r="RJW39" s="704"/>
      <c r="RJX39" s="704"/>
      <c r="RJY39" s="704"/>
      <c r="RJZ39" s="704"/>
      <c r="RKA39" s="704"/>
      <c r="RKB39" s="704"/>
      <c r="RKC39" s="704"/>
      <c r="RKD39" s="704"/>
      <c r="RKE39" s="704"/>
      <c r="RKF39" s="704"/>
      <c r="RKG39" s="704"/>
      <c r="RKH39" s="704"/>
      <c r="RKI39" s="704"/>
      <c r="RKJ39" s="704"/>
      <c r="RKK39" s="704"/>
      <c r="RKL39" s="704"/>
      <c r="RKM39" s="704"/>
      <c r="RKN39" s="704"/>
      <c r="RKO39" s="704"/>
      <c r="RKP39" s="704"/>
      <c r="RKQ39" s="704"/>
      <c r="RKR39" s="704"/>
      <c r="RKS39" s="704"/>
      <c r="RKT39" s="704"/>
      <c r="RKU39" s="704"/>
      <c r="RKV39" s="704"/>
      <c r="RKW39" s="704"/>
      <c r="RKX39" s="704"/>
      <c r="RKY39" s="704"/>
      <c r="RKZ39" s="704"/>
      <c r="RLA39" s="704"/>
      <c r="RLB39" s="704"/>
      <c r="RLC39" s="704"/>
      <c r="RLD39" s="704"/>
      <c r="RLE39" s="704"/>
      <c r="RLF39" s="704"/>
      <c r="RLG39" s="704"/>
      <c r="RLH39" s="704"/>
      <c r="RLI39" s="704"/>
      <c r="RLJ39" s="704"/>
      <c r="RLK39" s="704"/>
      <c r="RLL39" s="704"/>
      <c r="RLM39" s="704"/>
      <c r="RLN39" s="704"/>
      <c r="RLO39" s="704"/>
      <c r="RLP39" s="704"/>
      <c r="RLQ39" s="704"/>
      <c r="RLR39" s="704"/>
      <c r="RLS39" s="704"/>
      <c r="RLT39" s="704"/>
      <c r="RLU39" s="704"/>
      <c r="RLV39" s="704"/>
      <c r="RLW39" s="704"/>
      <c r="RLX39" s="704"/>
      <c r="RLY39" s="704"/>
      <c r="RLZ39" s="704"/>
      <c r="RMA39" s="704"/>
      <c r="RMB39" s="704"/>
      <c r="RMC39" s="704"/>
      <c r="RMD39" s="704"/>
      <c r="RME39" s="704"/>
      <c r="RMF39" s="704"/>
      <c r="RMG39" s="704"/>
      <c r="RMH39" s="704"/>
      <c r="RMI39" s="704"/>
      <c r="RMJ39" s="704"/>
      <c r="RMK39" s="704"/>
      <c r="RML39" s="704"/>
      <c r="RMM39" s="704"/>
      <c r="RMN39" s="704"/>
      <c r="RMO39" s="704"/>
      <c r="RMP39" s="704"/>
      <c r="RMQ39" s="704"/>
      <c r="RMR39" s="704"/>
      <c r="RMS39" s="704"/>
      <c r="RMT39" s="704"/>
      <c r="RMU39" s="704"/>
      <c r="RMV39" s="704"/>
      <c r="RMW39" s="704"/>
      <c r="RMX39" s="704"/>
      <c r="RMY39" s="704"/>
      <c r="RMZ39" s="704"/>
      <c r="RNA39" s="704"/>
      <c r="RNB39" s="704"/>
      <c r="RNC39" s="704"/>
      <c r="RND39" s="704"/>
      <c r="RNE39" s="704"/>
      <c r="RNF39" s="704"/>
      <c r="RNG39" s="704"/>
      <c r="RNH39" s="704"/>
      <c r="RNI39" s="704"/>
      <c r="RNJ39" s="704"/>
      <c r="RNK39" s="704"/>
      <c r="RNL39" s="704"/>
      <c r="RNM39" s="704"/>
      <c r="RNN39" s="704"/>
      <c r="RNO39" s="704"/>
      <c r="RNP39" s="704"/>
      <c r="RNQ39" s="704"/>
      <c r="RNR39" s="704"/>
      <c r="RNS39" s="704"/>
      <c r="RNT39" s="704"/>
      <c r="RNU39" s="704"/>
      <c r="RNV39" s="704"/>
      <c r="RNW39" s="704"/>
      <c r="RNX39" s="704"/>
      <c r="RNY39" s="704"/>
      <c r="RNZ39" s="704"/>
      <c r="ROA39" s="704"/>
      <c r="ROB39" s="704"/>
      <c r="ROC39" s="704"/>
      <c r="ROD39" s="704"/>
      <c r="ROE39" s="704"/>
      <c r="ROF39" s="704"/>
      <c r="ROG39" s="704"/>
      <c r="ROH39" s="704"/>
      <c r="ROI39" s="704"/>
      <c r="ROJ39" s="704"/>
      <c r="ROK39" s="704"/>
      <c r="ROL39" s="704"/>
      <c r="ROM39" s="704"/>
      <c r="RON39" s="704"/>
      <c r="ROO39" s="704"/>
      <c r="ROP39" s="704"/>
      <c r="ROQ39" s="704"/>
      <c r="ROR39" s="704"/>
      <c r="ROS39" s="704"/>
      <c r="ROT39" s="704"/>
      <c r="ROU39" s="704"/>
      <c r="ROV39" s="704"/>
      <c r="ROW39" s="704"/>
      <c r="ROX39" s="704"/>
      <c r="ROY39" s="704"/>
      <c r="ROZ39" s="704"/>
      <c r="RPA39" s="704"/>
      <c r="RPB39" s="704"/>
      <c r="RPC39" s="704"/>
      <c r="RPD39" s="704"/>
      <c r="RPE39" s="704"/>
      <c r="RPF39" s="704"/>
      <c r="RPG39" s="704"/>
      <c r="RPH39" s="704"/>
      <c r="RPI39" s="704"/>
      <c r="RPJ39" s="704"/>
      <c r="RPK39" s="704"/>
      <c r="RPL39" s="704"/>
      <c r="RPM39" s="704"/>
      <c r="RPN39" s="704"/>
      <c r="RPO39" s="704"/>
      <c r="RPP39" s="704"/>
      <c r="RPQ39" s="704"/>
      <c r="RPR39" s="704"/>
      <c r="RPS39" s="704"/>
      <c r="RPT39" s="704"/>
      <c r="RPU39" s="704"/>
      <c r="RPV39" s="704"/>
      <c r="RPW39" s="704"/>
      <c r="RPX39" s="704"/>
      <c r="RPY39" s="704"/>
      <c r="RPZ39" s="704"/>
      <c r="RQA39" s="704"/>
      <c r="RQB39" s="704"/>
      <c r="RQC39" s="704"/>
      <c r="RQD39" s="704"/>
      <c r="RQE39" s="704"/>
      <c r="RQF39" s="704"/>
      <c r="RQG39" s="704"/>
      <c r="RQH39" s="704"/>
      <c r="RQI39" s="704"/>
      <c r="RQJ39" s="704"/>
      <c r="RQK39" s="704"/>
      <c r="RQL39" s="704"/>
      <c r="RQM39" s="704"/>
      <c r="RQN39" s="704"/>
      <c r="RQO39" s="704"/>
      <c r="RQP39" s="704"/>
      <c r="RQQ39" s="704"/>
      <c r="RQR39" s="704"/>
      <c r="RQS39" s="704"/>
      <c r="RQT39" s="704"/>
      <c r="RQU39" s="704"/>
      <c r="RQV39" s="704"/>
      <c r="RQW39" s="704"/>
      <c r="RQX39" s="704"/>
      <c r="RQY39" s="704"/>
      <c r="RQZ39" s="704"/>
      <c r="RRA39" s="704"/>
      <c r="RRB39" s="704"/>
      <c r="RRC39" s="704"/>
      <c r="RRD39" s="704"/>
      <c r="RRE39" s="704"/>
      <c r="RRF39" s="704"/>
      <c r="RRG39" s="704"/>
      <c r="RRH39" s="704"/>
      <c r="RRI39" s="704"/>
      <c r="RRJ39" s="704"/>
      <c r="RRK39" s="704"/>
      <c r="RRL39" s="704"/>
      <c r="RRM39" s="704"/>
      <c r="RRN39" s="704"/>
      <c r="RRO39" s="704"/>
      <c r="RRP39" s="704"/>
      <c r="RRQ39" s="704"/>
      <c r="RRR39" s="704"/>
      <c r="RRS39" s="704"/>
      <c r="RRT39" s="704"/>
      <c r="RRU39" s="704"/>
      <c r="RRV39" s="704"/>
      <c r="RRW39" s="704"/>
      <c r="RRX39" s="704"/>
      <c r="RRY39" s="704"/>
      <c r="RRZ39" s="704"/>
      <c r="RSA39" s="704"/>
      <c r="RSB39" s="704"/>
      <c r="RSC39" s="704"/>
      <c r="RSD39" s="704"/>
      <c r="RSE39" s="704"/>
      <c r="RSF39" s="704"/>
      <c r="RSG39" s="704"/>
      <c r="RSH39" s="704"/>
      <c r="RSI39" s="704"/>
      <c r="RSJ39" s="704"/>
      <c r="RSK39" s="704"/>
      <c r="RSL39" s="704"/>
      <c r="RSM39" s="704"/>
      <c r="RSN39" s="704"/>
      <c r="RSO39" s="704"/>
      <c r="RSP39" s="704"/>
      <c r="RSQ39" s="704"/>
      <c r="RSR39" s="704"/>
      <c r="RSS39" s="704"/>
      <c r="RST39" s="704"/>
      <c r="RSU39" s="704"/>
      <c r="RSV39" s="704"/>
      <c r="RSW39" s="704"/>
      <c r="RSX39" s="704"/>
      <c r="RSY39" s="704"/>
      <c r="RSZ39" s="704"/>
      <c r="RTA39" s="704"/>
      <c r="RTB39" s="704"/>
      <c r="RTC39" s="704"/>
      <c r="RTD39" s="704"/>
      <c r="RTE39" s="704"/>
      <c r="RTF39" s="704"/>
      <c r="RTG39" s="704"/>
      <c r="RTH39" s="704"/>
      <c r="RTI39" s="704"/>
      <c r="RTJ39" s="704"/>
      <c r="RTK39" s="704"/>
      <c r="RTL39" s="704"/>
      <c r="RTM39" s="704"/>
      <c r="RTN39" s="704"/>
      <c r="RTO39" s="704"/>
      <c r="RTP39" s="704"/>
      <c r="RTQ39" s="704"/>
      <c r="RTR39" s="704"/>
      <c r="RTS39" s="704"/>
      <c r="RTT39" s="704"/>
      <c r="RTU39" s="704"/>
      <c r="RTV39" s="704"/>
      <c r="RTW39" s="704"/>
      <c r="RTX39" s="704"/>
      <c r="RTY39" s="704"/>
      <c r="RTZ39" s="704"/>
      <c r="RUA39" s="704"/>
      <c r="RUB39" s="704"/>
      <c r="RUC39" s="704"/>
      <c r="RUD39" s="704"/>
      <c r="RUE39" s="704"/>
      <c r="RUF39" s="704"/>
      <c r="RUG39" s="704"/>
      <c r="RUH39" s="704"/>
      <c r="RUI39" s="704"/>
      <c r="RUJ39" s="704"/>
      <c r="RUK39" s="704"/>
      <c r="RUL39" s="704"/>
      <c r="RUM39" s="704"/>
      <c r="RUN39" s="704"/>
      <c r="RUO39" s="704"/>
      <c r="RUP39" s="704"/>
      <c r="RUQ39" s="704"/>
      <c r="RUR39" s="704"/>
      <c r="RUS39" s="704"/>
      <c r="RUT39" s="704"/>
      <c r="RUU39" s="704"/>
      <c r="RUV39" s="704"/>
      <c r="RUW39" s="704"/>
      <c r="RUX39" s="704"/>
      <c r="RUY39" s="704"/>
      <c r="RUZ39" s="704"/>
      <c r="RVA39" s="704"/>
      <c r="RVB39" s="704"/>
      <c r="RVC39" s="704"/>
      <c r="RVD39" s="704"/>
      <c r="RVE39" s="704"/>
      <c r="RVF39" s="704"/>
      <c r="RVG39" s="704"/>
      <c r="RVH39" s="704"/>
      <c r="RVI39" s="704"/>
      <c r="RVJ39" s="704"/>
      <c r="RVK39" s="704"/>
      <c r="RVL39" s="704"/>
      <c r="RVM39" s="704"/>
      <c r="RVN39" s="704"/>
      <c r="RVO39" s="704"/>
      <c r="RVP39" s="704"/>
      <c r="RVQ39" s="704"/>
      <c r="RVR39" s="704"/>
      <c r="RVS39" s="704"/>
      <c r="RVT39" s="704"/>
      <c r="RVU39" s="704"/>
      <c r="RVV39" s="704"/>
      <c r="RVW39" s="704"/>
      <c r="RVX39" s="704"/>
      <c r="RVY39" s="704"/>
      <c r="RVZ39" s="704"/>
      <c r="RWA39" s="704"/>
      <c r="RWB39" s="704"/>
      <c r="RWC39" s="704"/>
      <c r="RWD39" s="704"/>
      <c r="RWE39" s="704"/>
      <c r="RWF39" s="704"/>
      <c r="RWG39" s="704"/>
      <c r="RWH39" s="704"/>
      <c r="RWI39" s="704"/>
      <c r="RWJ39" s="704"/>
      <c r="RWK39" s="704"/>
      <c r="RWL39" s="704"/>
      <c r="RWM39" s="704"/>
      <c r="RWN39" s="704"/>
      <c r="RWO39" s="704"/>
      <c r="RWP39" s="704"/>
      <c r="RWQ39" s="704"/>
      <c r="RWR39" s="704"/>
      <c r="RWS39" s="704"/>
      <c r="RWT39" s="704"/>
      <c r="RWU39" s="704"/>
      <c r="RWV39" s="704"/>
      <c r="RWW39" s="704"/>
      <c r="RWX39" s="704"/>
      <c r="RWY39" s="704"/>
      <c r="RWZ39" s="704"/>
      <c r="RXA39" s="704"/>
      <c r="RXB39" s="704"/>
      <c r="RXC39" s="704"/>
      <c r="RXD39" s="704"/>
      <c r="RXE39" s="704"/>
      <c r="RXF39" s="704"/>
      <c r="RXG39" s="704"/>
      <c r="RXH39" s="704"/>
      <c r="RXI39" s="704"/>
      <c r="RXJ39" s="704"/>
      <c r="RXK39" s="704"/>
      <c r="RXL39" s="704"/>
      <c r="RXM39" s="704"/>
      <c r="RXN39" s="704"/>
      <c r="RXO39" s="704"/>
      <c r="RXP39" s="704"/>
      <c r="RXQ39" s="704"/>
      <c r="RXR39" s="704"/>
      <c r="RXS39" s="704"/>
      <c r="RXT39" s="704"/>
      <c r="RXU39" s="704"/>
      <c r="RXV39" s="704"/>
      <c r="RXW39" s="704"/>
      <c r="RXX39" s="704"/>
      <c r="RXY39" s="704"/>
      <c r="RXZ39" s="704"/>
      <c r="RYA39" s="704"/>
      <c r="RYB39" s="704"/>
      <c r="RYC39" s="704"/>
      <c r="RYD39" s="704"/>
      <c r="RYE39" s="704"/>
      <c r="RYF39" s="704"/>
      <c r="RYG39" s="704"/>
      <c r="RYH39" s="704"/>
      <c r="RYI39" s="704"/>
      <c r="RYJ39" s="704"/>
      <c r="RYK39" s="704"/>
      <c r="RYL39" s="704"/>
      <c r="RYM39" s="704"/>
      <c r="RYN39" s="704"/>
      <c r="RYO39" s="704"/>
      <c r="RYP39" s="704"/>
      <c r="RYQ39" s="704"/>
      <c r="RYR39" s="704"/>
      <c r="RYS39" s="704"/>
      <c r="RYT39" s="704"/>
      <c r="RYU39" s="704"/>
      <c r="RYV39" s="704"/>
      <c r="RYW39" s="704"/>
      <c r="RYX39" s="704"/>
      <c r="RYY39" s="704"/>
      <c r="RYZ39" s="704"/>
      <c r="RZA39" s="704"/>
      <c r="RZB39" s="704"/>
      <c r="RZC39" s="704"/>
      <c r="RZD39" s="704"/>
      <c r="RZE39" s="704"/>
      <c r="RZF39" s="704"/>
      <c r="RZG39" s="704"/>
      <c r="RZH39" s="704"/>
      <c r="RZI39" s="704"/>
      <c r="RZJ39" s="704"/>
      <c r="RZK39" s="704"/>
      <c r="RZL39" s="704"/>
      <c r="RZM39" s="704"/>
      <c r="RZN39" s="704"/>
      <c r="RZO39" s="704"/>
      <c r="RZP39" s="704"/>
      <c r="RZQ39" s="704"/>
      <c r="RZR39" s="704"/>
      <c r="RZS39" s="704"/>
      <c r="RZT39" s="704"/>
      <c r="RZU39" s="704"/>
      <c r="RZV39" s="704"/>
      <c r="RZW39" s="704"/>
      <c r="RZX39" s="704"/>
      <c r="RZY39" s="704"/>
      <c r="RZZ39" s="704"/>
      <c r="SAA39" s="704"/>
      <c r="SAB39" s="704"/>
      <c r="SAC39" s="704"/>
      <c r="SAD39" s="704"/>
      <c r="SAE39" s="704"/>
      <c r="SAF39" s="704"/>
      <c r="SAG39" s="704"/>
      <c r="SAH39" s="704"/>
      <c r="SAI39" s="704"/>
      <c r="SAJ39" s="704"/>
      <c r="SAK39" s="704"/>
      <c r="SAL39" s="704"/>
      <c r="SAM39" s="704"/>
      <c r="SAN39" s="704"/>
      <c r="SAO39" s="704"/>
      <c r="SAP39" s="704"/>
      <c r="SAQ39" s="704"/>
      <c r="SAR39" s="704"/>
      <c r="SAS39" s="704"/>
      <c r="SAT39" s="704"/>
      <c r="SAU39" s="704"/>
      <c r="SAV39" s="704"/>
      <c r="SAW39" s="704"/>
      <c r="SAX39" s="704"/>
      <c r="SAY39" s="704"/>
      <c r="SAZ39" s="704"/>
      <c r="SBA39" s="704"/>
      <c r="SBB39" s="704"/>
      <c r="SBC39" s="704"/>
      <c r="SBD39" s="704"/>
      <c r="SBE39" s="704"/>
      <c r="SBF39" s="704"/>
      <c r="SBG39" s="704"/>
      <c r="SBH39" s="704"/>
      <c r="SBI39" s="704"/>
      <c r="SBJ39" s="704"/>
      <c r="SBK39" s="704"/>
      <c r="SBL39" s="704"/>
      <c r="SBM39" s="704"/>
      <c r="SBN39" s="704"/>
      <c r="SBO39" s="704"/>
      <c r="SBP39" s="704"/>
      <c r="SBQ39" s="704"/>
      <c r="SBR39" s="704"/>
      <c r="SBS39" s="704"/>
      <c r="SBT39" s="704"/>
      <c r="SBU39" s="704"/>
      <c r="SBV39" s="704"/>
      <c r="SBW39" s="704"/>
      <c r="SBX39" s="704"/>
      <c r="SBY39" s="704"/>
      <c r="SBZ39" s="704"/>
      <c r="SCA39" s="704"/>
      <c r="SCB39" s="704"/>
      <c r="SCC39" s="704"/>
      <c r="SCD39" s="704"/>
      <c r="SCE39" s="704"/>
      <c r="SCF39" s="704"/>
      <c r="SCG39" s="704"/>
      <c r="SCH39" s="704"/>
      <c r="SCI39" s="704"/>
      <c r="SCJ39" s="704"/>
      <c r="SCK39" s="704"/>
      <c r="SCL39" s="704"/>
      <c r="SCM39" s="704"/>
      <c r="SCN39" s="704"/>
      <c r="SCO39" s="704"/>
      <c r="SCP39" s="704"/>
      <c r="SCQ39" s="704"/>
      <c r="SCR39" s="704"/>
      <c r="SCS39" s="704"/>
      <c r="SCT39" s="704"/>
      <c r="SCU39" s="704"/>
      <c r="SCV39" s="704"/>
      <c r="SCW39" s="704"/>
      <c r="SCX39" s="704"/>
      <c r="SCY39" s="704"/>
      <c r="SCZ39" s="704"/>
      <c r="SDA39" s="704"/>
      <c r="SDB39" s="704"/>
      <c r="SDC39" s="704"/>
      <c r="SDD39" s="704"/>
      <c r="SDE39" s="704"/>
      <c r="SDF39" s="704"/>
      <c r="SDG39" s="704"/>
      <c r="SDH39" s="704"/>
      <c r="SDI39" s="704"/>
      <c r="SDJ39" s="704"/>
      <c r="SDK39" s="704"/>
      <c r="SDL39" s="704"/>
      <c r="SDM39" s="704"/>
      <c r="SDN39" s="704"/>
      <c r="SDO39" s="704"/>
      <c r="SDP39" s="704"/>
      <c r="SDQ39" s="704"/>
      <c r="SDR39" s="704"/>
      <c r="SDS39" s="704"/>
      <c r="SDT39" s="704"/>
      <c r="SDU39" s="704"/>
      <c r="SDV39" s="704"/>
      <c r="SDW39" s="704"/>
      <c r="SDX39" s="704"/>
      <c r="SDY39" s="704"/>
      <c r="SDZ39" s="704"/>
      <c r="SEA39" s="704"/>
      <c r="SEB39" s="704"/>
      <c r="SEC39" s="704"/>
      <c r="SED39" s="704"/>
      <c r="SEE39" s="704"/>
      <c r="SEF39" s="704"/>
      <c r="SEG39" s="704"/>
      <c r="SEH39" s="704"/>
      <c r="SEI39" s="704"/>
      <c r="SEJ39" s="704"/>
      <c r="SEK39" s="704"/>
      <c r="SEL39" s="704"/>
      <c r="SEM39" s="704"/>
      <c r="SEN39" s="704"/>
      <c r="SEO39" s="704"/>
      <c r="SEP39" s="704"/>
      <c r="SEQ39" s="704"/>
      <c r="SER39" s="704"/>
      <c r="SES39" s="704"/>
      <c r="SET39" s="704"/>
      <c r="SEU39" s="704"/>
      <c r="SEV39" s="704"/>
      <c r="SEW39" s="704"/>
      <c r="SEX39" s="704"/>
      <c r="SEY39" s="704"/>
      <c r="SEZ39" s="704"/>
      <c r="SFA39" s="704"/>
      <c r="SFB39" s="704"/>
      <c r="SFC39" s="704"/>
      <c r="SFD39" s="704"/>
      <c r="SFE39" s="704"/>
      <c r="SFF39" s="704"/>
      <c r="SFG39" s="704"/>
      <c r="SFH39" s="704"/>
      <c r="SFI39" s="704"/>
      <c r="SFJ39" s="704"/>
      <c r="SFK39" s="704"/>
      <c r="SFL39" s="704"/>
      <c r="SFM39" s="704"/>
      <c r="SFN39" s="704"/>
      <c r="SFO39" s="704"/>
      <c r="SFP39" s="704"/>
      <c r="SFQ39" s="704"/>
      <c r="SFR39" s="704"/>
      <c r="SFS39" s="704"/>
      <c r="SFT39" s="704"/>
      <c r="SFU39" s="704"/>
      <c r="SFV39" s="704"/>
      <c r="SFW39" s="704"/>
      <c r="SFX39" s="704"/>
      <c r="SFY39" s="704"/>
      <c r="SFZ39" s="704"/>
      <c r="SGA39" s="704"/>
      <c r="SGB39" s="704"/>
      <c r="SGC39" s="704"/>
      <c r="SGD39" s="704"/>
      <c r="SGE39" s="704"/>
      <c r="SGF39" s="704"/>
      <c r="SGG39" s="704"/>
      <c r="SGH39" s="704"/>
      <c r="SGI39" s="704"/>
      <c r="SGJ39" s="704"/>
      <c r="SGK39" s="704"/>
      <c r="SGL39" s="704"/>
      <c r="SGM39" s="704"/>
      <c r="SGN39" s="704"/>
      <c r="SGO39" s="704"/>
      <c r="SGP39" s="704"/>
      <c r="SGQ39" s="704"/>
      <c r="SGR39" s="704"/>
      <c r="SGS39" s="704"/>
      <c r="SGT39" s="704"/>
      <c r="SGU39" s="704"/>
      <c r="SGV39" s="704"/>
      <c r="SGW39" s="704"/>
      <c r="SGX39" s="704"/>
      <c r="SGY39" s="704"/>
      <c r="SGZ39" s="704"/>
      <c r="SHA39" s="704"/>
      <c r="SHB39" s="704"/>
      <c r="SHC39" s="704"/>
      <c r="SHD39" s="704"/>
      <c r="SHE39" s="704"/>
      <c r="SHF39" s="704"/>
      <c r="SHG39" s="704"/>
      <c r="SHH39" s="704"/>
      <c r="SHI39" s="704"/>
      <c r="SHJ39" s="704"/>
      <c r="SHK39" s="704"/>
      <c r="SHL39" s="704"/>
      <c r="SHM39" s="704"/>
      <c r="SHN39" s="704"/>
      <c r="SHO39" s="704"/>
      <c r="SHP39" s="704"/>
      <c r="SHQ39" s="704"/>
      <c r="SHR39" s="704"/>
      <c r="SHS39" s="704"/>
      <c r="SHT39" s="704"/>
      <c r="SHU39" s="704"/>
      <c r="SHV39" s="704"/>
      <c r="SHW39" s="704"/>
      <c r="SHX39" s="704"/>
      <c r="SHY39" s="704"/>
      <c r="SHZ39" s="704"/>
      <c r="SIA39" s="704"/>
      <c r="SIB39" s="704"/>
      <c r="SIC39" s="704"/>
      <c r="SID39" s="704"/>
      <c r="SIE39" s="704"/>
      <c r="SIF39" s="704"/>
      <c r="SIG39" s="704"/>
      <c r="SIH39" s="704"/>
      <c r="SII39" s="704"/>
      <c r="SIJ39" s="704"/>
      <c r="SIK39" s="704"/>
      <c r="SIL39" s="704"/>
      <c r="SIM39" s="704"/>
      <c r="SIN39" s="704"/>
      <c r="SIO39" s="704"/>
      <c r="SIP39" s="704"/>
      <c r="SIQ39" s="704"/>
      <c r="SIR39" s="704"/>
      <c r="SIS39" s="704"/>
      <c r="SIT39" s="704"/>
      <c r="SIU39" s="704"/>
      <c r="SIV39" s="704"/>
      <c r="SIW39" s="704"/>
      <c r="SIX39" s="704"/>
      <c r="SIY39" s="704"/>
      <c r="SIZ39" s="704"/>
      <c r="SJA39" s="704"/>
      <c r="SJB39" s="704"/>
      <c r="SJC39" s="704"/>
      <c r="SJD39" s="704"/>
      <c r="SJE39" s="704"/>
      <c r="SJF39" s="704"/>
      <c r="SJG39" s="704"/>
      <c r="SJH39" s="704"/>
      <c r="SJI39" s="704"/>
      <c r="SJJ39" s="704"/>
      <c r="SJK39" s="704"/>
      <c r="SJL39" s="704"/>
      <c r="SJM39" s="704"/>
      <c r="SJN39" s="704"/>
      <c r="SJO39" s="704"/>
      <c r="SJP39" s="704"/>
      <c r="SJQ39" s="704"/>
      <c r="SJR39" s="704"/>
      <c r="SJS39" s="704"/>
      <c r="SJT39" s="704"/>
      <c r="SJU39" s="704"/>
      <c r="SJV39" s="704"/>
      <c r="SJW39" s="704"/>
      <c r="SJX39" s="704"/>
      <c r="SJY39" s="704"/>
      <c r="SJZ39" s="704"/>
      <c r="SKA39" s="704"/>
      <c r="SKB39" s="704"/>
      <c r="SKC39" s="704"/>
      <c r="SKD39" s="704"/>
      <c r="SKE39" s="704"/>
      <c r="SKF39" s="704"/>
      <c r="SKG39" s="704"/>
      <c r="SKH39" s="704"/>
      <c r="SKI39" s="704"/>
      <c r="SKJ39" s="704"/>
      <c r="SKK39" s="704"/>
      <c r="SKL39" s="704"/>
      <c r="SKM39" s="704"/>
      <c r="SKN39" s="704"/>
      <c r="SKO39" s="704"/>
      <c r="SKP39" s="704"/>
      <c r="SKQ39" s="704"/>
      <c r="SKR39" s="704"/>
      <c r="SKS39" s="704"/>
      <c r="SKT39" s="704"/>
      <c r="SKU39" s="704"/>
      <c r="SKV39" s="704"/>
      <c r="SKW39" s="704"/>
      <c r="SKX39" s="704"/>
      <c r="SKY39" s="704"/>
      <c r="SKZ39" s="704"/>
      <c r="SLA39" s="704"/>
      <c r="SLB39" s="704"/>
      <c r="SLC39" s="704"/>
      <c r="SLD39" s="704"/>
      <c r="SLE39" s="704"/>
      <c r="SLF39" s="704"/>
      <c r="SLG39" s="704"/>
      <c r="SLH39" s="704"/>
      <c r="SLI39" s="704"/>
      <c r="SLJ39" s="704"/>
      <c r="SLK39" s="704"/>
      <c r="SLL39" s="704"/>
      <c r="SLM39" s="704"/>
      <c r="SLN39" s="704"/>
      <c r="SLO39" s="704"/>
      <c r="SLP39" s="704"/>
      <c r="SLQ39" s="704"/>
      <c r="SLR39" s="704"/>
      <c r="SLS39" s="704"/>
      <c r="SLT39" s="704"/>
      <c r="SLU39" s="704"/>
      <c r="SLV39" s="704"/>
      <c r="SLW39" s="704"/>
      <c r="SLX39" s="704"/>
      <c r="SLY39" s="704"/>
      <c r="SLZ39" s="704"/>
      <c r="SMA39" s="704"/>
      <c r="SMB39" s="704"/>
      <c r="SMC39" s="704"/>
      <c r="SMD39" s="704"/>
      <c r="SME39" s="704"/>
      <c r="SMF39" s="704"/>
      <c r="SMG39" s="704"/>
      <c r="SMH39" s="704"/>
      <c r="SMI39" s="704"/>
      <c r="SMJ39" s="704"/>
      <c r="SMK39" s="704"/>
      <c r="SML39" s="704"/>
      <c r="SMM39" s="704"/>
      <c r="SMN39" s="704"/>
      <c r="SMO39" s="704"/>
      <c r="SMP39" s="704"/>
      <c r="SMQ39" s="704"/>
      <c r="SMR39" s="704"/>
      <c r="SMS39" s="704"/>
      <c r="SMT39" s="704"/>
      <c r="SMU39" s="704"/>
      <c r="SMV39" s="704"/>
      <c r="SMW39" s="704"/>
      <c r="SMX39" s="704"/>
      <c r="SMY39" s="704"/>
      <c r="SMZ39" s="704"/>
      <c r="SNA39" s="704"/>
      <c r="SNB39" s="704"/>
      <c r="SNC39" s="704"/>
      <c r="SND39" s="704"/>
      <c r="SNE39" s="704"/>
      <c r="SNF39" s="704"/>
      <c r="SNG39" s="704"/>
      <c r="SNH39" s="704"/>
      <c r="SNI39" s="704"/>
      <c r="SNJ39" s="704"/>
      <c r="SNK39" s="704"/>
      <c r="SNL39" s="704"/>
      <c r="SNM39" s="704"/>
      <c r="SNN39" s="704"/>
      <c r="SNO39" s="704"/>
      <c r="SNP39" s="704"/>
      <c r="SNQ39" s="704"/>
      <c r="SNR39" s="704"/>
      <c r="SNS39" s="704"/>
      <c r="SNT39" s="704"/>
      <c r="SNU39" s="704"/>
      <c r="SNV39" s="704"/>
      <c r="SNW39" s="704"/>
      <c r="SNX39" s="704"/>
      <c r="SNY39" s="704"/>
      <c r="SNZ39" s="704"/>
      <c r="SOA39" s="704"/>
      <c r="SOB39" s="704"/>
      <c r="SOC39" s="704"/>
      <c r="SOD39" s="704"/>
      <c r="SOE39" s="704"/>
      <c r="SOF39" s="704"/>
      <c r="SOG39" s="704"/>
      <c r="SOH39" s="704"/>
      <c r="SOI39" s="704"/>
      <c r="SOJ39" s="704"/>
      <c r="SOK39" s="704"/>
      <c r="SOL39" s="704"/>
      <c r="SOM39" s="704"/>
      <c r="SON39" s="704"/>
      <c r="SOO39" s="704"/>
      <c r="SOP39" s="704"/>
      <c r="SOQ39" s="704"/>
      <c r="SOR39" s="704"/>
      <c r="SOS39" s="704"/>
      <c r="SOT39" s="704"/>
      <c r="SOU39" s="704"/>
      <c r="SOV39" s="704"/>
      <c r="SOW39" s="704"/>
      <c r="SOX39" s="704"/>
      <c r="SOY39" s="704"/>
      <c r="SOZ39" s="704"/>
      <c r="SPA39" s="704"/>
      <c r="SPB39" s="704"/>
      <c r="SPC39" s="704"/>
      <c r="SPD39" s="704"/>
      <c r="SPE39" s="704"/>
      <c r="SPF39" s="704"/>
      <c r="SPG39" s="704"/>
      <c r="SPH39" s="704"/>
      <c r="SPI39" s="704"/>
      <c r="SPJ39" s="704"/>
      <c r="SPK39" s="704"/>
      <c r="SPL39" s="704"/>
      <c r="SPM39" s="704"/>
      <c r="SPN39" s="704"/>
      <c r="SPO39" s="704"/>
      <c r="SPP39" s="704"/>
      <c r="SPQ39" s="704"/>
      <c r="SPR39" s="704"/>
      <c r="SPS39" s="704"/>
      <c r="SPT39" s="704"/>
      <c r="SPU39" s="704"/>
      <c r="SPV39" s="704"/>
      <c r="SPW39" s="704"/>
      <c r="SPX39" s="704"/>
      <c r="SPY39" s="704"/>
      <c r="SPZ39" s="704"/>
      <c r="SQA39" s="704"/>
      <c r="SQB39" s="704"/>
      <c r="SQC39" s="704"/>
      <c r="SQD39" s="704"/>
      <c r="SQE39" s="704"/>
      <c r="SQF39" s="704"/>
      <c r="SQG39" s="704"/>
      <c r="SQH39" s="704"/>
      <c r="SQI39" s="704"/>
      <c r="SQJ39" s="704"/>
      <c r="SQK39" s="704"/>
      <c r="SQL39" s="704"/>
      <c r="SQM39" s="704"/>
      <c r="SQN39" s="704"/>
      <c r="SQO39" s="704"/>
      <c r="SQP39" s="704"/>
      <c r="SQQ39" s="704"/>
      <c r="SQR39" s="704"/>
      <c r="SQS39" s="704"/>
      <c r="SQT39" s="704"/>
      <c r="SQU39" s="704"/>
      <c r="SQV39" s="704"/>
      <c r="SQW39" s="704"/>
      <c r="SQX39" s="704"/>
      <c r="SQY39" s="704"/>
      <c r="SQZ39" s="704"/>
      <c r="SRA39" s="704"/>
      <c r="SRB39" s="704"/>
      <c r="SRC39" s="704"/>
      <c r="SRD39" s="704"/>
      <c r="SRE39" s="704"/>
      <c r="SRF39" s="704"/>
      <c r="SRG39" s="704"/>
      <c r="SRH39" s="704"/>
      <c r="SRI39" s="704"/>
      <c r="SRJ39" s="704"/>
      <c r="SRK39" s="704"/>
      <c r="SRL39" s="704"/>
      <c r="SRM39" s="704"/>
      <c r="SRN39" s="704"/>
      <c r="SRO39" s="704"/>
      <c r="SRP39" s="704"/>
      <c r="SRQ39" s="704"/>
      <c r="SRR39" s="704"/>
      <c r="SRS39" s="704"/>
      <c r="SRT39" s="704"/>
      <c r="SRU39" s="704"/>
      <c r="SRV39" s="704"/>
      <c r="SRW39" s="704"/>
      <c r="SRX39" s="704"/>
      <c r="SRY39" s="704"/>
      <c r="SRZ39" s="704"/>
      <c r="SSA39" s="704"/>
      <c r="SSB39" s="704"/>
      <c r="SSC39" s="704"/>
      <c r="SSD39" s="704"/>
      <c r="SSE39" s="704"/>
      <c r="SSF39" s="704"/>
      <c r="SSG39" s="704"/>
      <c r="SSH39" s="704"/>
      <c r="SSI39" s="704"/>
      <c r="SSJ39" s="704"/>
      <c r="SSK39" s="704"/>
      <c r="SSL39" s="704"/>
      <c r="SSM39" s="704"/>
      <c r="SSN39" s="704"/>
      <c r="SSO39" s="704"/>
      <c r="SSP39" s="704"/>
      <c r="SSQ39" s="704"/>
      <c r="SSR39" s="704"/>
      <c r="SSS39" s="704"/>
      <c r="SST39" s="704"/>
      <c r="SSU39" s="704"/>
      <c r="SSV39" s="704"/>
      <c r="SSW39" s="704"/>
      <c r="SSX39" s="704"/>
      <c r="SSY39" s="704"/>
      <c r="SSZ39" s="704"/>
      <c r="STA39" s="704"/>
      <c r="STB39" s="704"/>
      <c r="STC39" s="704"/>
      <c r="STD39" s="704"/>
      <c r="STE39" s="704"/>
      <c r="STF39" s="704"/>
      <c r="STG39" s="704"/>
      <c r="STH39" s="704"/>
      <c r="STI39" s="704"/>
      <c r="STJ39" s="704"/>
      <c r="STK39" s="704"/>
      <c r="STL39" s="704"/>
      <c r="STM39" s="704"/>
      <c r="STN39" s="704"/>
      <c r="STO39" s="704"/>
      <c r="STP39" s="704"/>
      <c r="STQ39" s="704"/>
      <c r="STR39" s="704"/>
      <c r="STS39" s="704"/>
      <c r="STT39" s="704"/>
      <c r="STU39" s="704"/>
      <c r="STV39" s="704"/>
      <c r="STW39" s="704"/>
      <c r="STX39" s="704"/>
      <c r="STY39" s="704"/>
      <c r="STZ39" s="704"/>
      <c r="SUA39" s="704"/>
      <c r="SUB39" s="704"/>
      <c r="SUC39" s="704"/>
      <c r="SUD39" s="704"/>
      <c r="SUE39" s="704"/>
      <c r="SUF39" s="704"/>
      <c r="SUG39" s="704"/>
      <c r="SUH39" s="704"/>
      <c r="SUI39" s="704"/>
      <c r="SUJ39" s="704"/>
      <c r="SUK39" s="704"/>
      <c r="SUL39" s="704"/>
      <c r="SUM39" s="704"/>
      <c r="SUN39" s="704"/>
      <c r="SUO39" s="704"/>
      <c r="SUP39" s="704"/>
      <c r="SUQ39" s="704"/>
      <c r="SUR39" s="704"/>
      <c r="SUS39" s="704"/>
      <c r="SUT39" s="704"/>
      <c r="SUU39" s="704"/>
      <c r="SUV39" s="704"/>
      <c r="SUW39" s="704"/>
      <c r="SUX39" s="704"/>
      <c r="SUY39" s="704"/>
      <c r="SUZ39" s="704"/>
      <c r="SVA39" s="704"/>
      <c r="SVB39" s="704"/>
      <c r="SVC39" s="704"/>
      <c r="SVD39" s="704"/>
      <c r="SVE39" s="704"/>
      <c r="SVF39" s="704"/>
      <c r="SVG39" s="704"/>
      <c r="SVH39" s="704"/>
      <c r="SVI39" s="704"/>
      <c r="SVJ39" s="704"/>
      <c r="SVK39" s="704"/>
      <c r="SVL39" s="704"/>
      <c r="SVM39" s="704"/>
      <c r="SVN39" s="704"/>
      <c r="SVO39" s="704"/>
      <c r="SVP39" s="704"/>
      <c r="SVQ39" s="704"/>
      <c r="SVR39" s="704"/>
      <c r="SVS39" s="704"/>
      <c r="SVT39" s="704"/>
      <c r="SVU39" s="704"/>
      <c r="SVV39" s="704"/>
      <c r="SVW39" s="704"/>
      <c r="SVX39" s="704"/>
      <c r="SVY39" s="704"/>
      <c r="SVZ39" s="704"/>
      <c r="SWA39" s="704"/>
      <c r="SWB39" s="704"/>
      <c r="SWC39" s="704"/>
      <c r="SWD39" s="704"/>
      <c r="SWE39" s="704"/>
      <c r="SWF39" s="704"/>
      <c r="SWG39" s="704"/>
      <c r="SWH39" s="704"/>
      <c r="SWI39" s="704"/>
      <c r="SWJ39" s="704"/>
      <c r="SWK39" s="704"/>
      <c r="SWL39" s="704"/>
      <c r="SWM39" s="704"/>
      <c r="SWN39" s="704"/>
      <c r="SWO39" s="704"/>
      <c r="SWP39" s="704"/>
      <c r="SWQ39" s="704"/>
      <c r="SWR39" s="704"/>
      <c r="SWS39" s="704"/>
      <c r="SWT39" s="704"/>
      <c r="SWU39" s="704"/>
      <c r="SWV39" s="704"/>
      <c r="SWW39" s="704"/>
      <c r="SWX39" s="704"/>
      <c r="SWY39" s="704"/>
      <c r="SWZ39" s="704"/>
      <c r="SXA39" s="704"/>
      <c r="SXB39" s="704"/>
      <c r="SXC39" s="704"/>
      <c r="SXD39" s="704"/>
      <c r="SXE39" s="704"/>
      <c r="SXF39" s="704"/>
      <c r="SXG39" s="704"/>
      <c r="SXH39" s="704"/>
      <c r="SXI39" s="704"/>
      <c r="SXJ39" s="704"/>
      <c r="SXK39" s="704"/>
      <c r="SXL39" s="704"/>
      <c r="SXM39" s="704"/>
      <c r="SXN39" s="704"/>
      <c r="SXO39" s="704"/>
      <c r="SXP39" s="704"/>
      <c r="SXQ39" s="704"/>
      <c r="SXR39" s="704"/>
      <c r="SXS39" s="704"/>
      <c r="SXT39" s="704"/>
      <c r="SXU39" s="704"/>
      <c r="SXV39" s="704"/>
      <c r="SXW39" s="704"/>
      <c r="SXX39" s="704"/>
      <c r="SXY39" s="704"/>
      <c r="SXZ39" s="704"/>
      <c r="SYA39" s="704"/>
      <c r="SYB39" s="704"/>
      <c r="SYC39" s="704"/>
      <c r="SYD39" s="704"/>
      <c r="SYE39" s="704"/>
      <c r="SYF39" s="704"/>
      <c r="SYG39" s="704"/>
      <c r="SYH39" s="704"/>
      <c r="SYI39" s="704"/>
      <c r="SYJ39" s="704"/>
      <c r="SYK39" s="704"/>
      <c r="SYL39" s="704"/>
      <c r="SYM39" s="704"/>
      <c r="SYN39" s="704"/>
      <c r="SYO39" s="704"/>
      <c r="SYP39" s="704"/>
      <c r="SYQ39" s="704"/>
      <c r="SYR39" s="704"/>
      <c r="SYS39" s="704"/>
      <c r="SYT39" s="704"/>
      <c r="SYU39" s="704"/>
      <c r="SYV39" s="704"/>
      <c r="SYW39" s="704"/>
      <c r="SYX39" s="704"/>
      <c r="SYY39" s="704"/>
      <c r="SYZ39" s="704"/>
      <c r="SZA39" s="704"/>
      <c r="SZB39" s="704"/>
      <c r="SZC39" s="704"/>
      <c r="SZD39" s="704"/>
      <c r="SZE39" s="704"/>
      <c r="SZF39" s="704"/>
      <c r="SZG39" s="704"/>
      <c r="SZH39" s="704"/>
      <c r="SZI39" s="704"/>
      <c r="SZJ39" s="704"/>
      <c r="SZK39" s="704"/>
      <c r="SZL39" s="704"/>
      <c r="SZM39" s="704"/>
      <c r="SZN39" s="704"/>
      <c r="SZO39" s="704"/>
      <c r="SZP39" s="704"/>
      <c r="SZQ39" s="704"/>
      <c r="SZR39" s="704"/>
      <c r="SZS39" s="704"/>
      <c r="SZT39" s="704"/>
      <c r="SZU39" s="704"/>
      <c r="SZV39" s="704"/>
      <c r="SZW39" s="704"/>
      <c r="SZX39" s="704"/>
      <c r="SZY39" s="704"/>
      <c r="SZZ39" s="704"/>
      <c r="TAA39" s="704"/>
      <c r="TAB39" s="704"/>
      <c r="TAC39" s="704"/>
      <c r="TAD39" s="704"/>
      <c r="TAE39" s="704"/>
      <c r="TAF39" s="704"/>
      <c r="TAG39" s="704"/>
      <c r="TAH39" s="704"/>
      <c r="TAI39" s="704"/>
      <c r="TAJ39" s="704"/>
      <c r="TAK39" s="704"/>
      <c r="TAL39" s="704"/>
      <c r="TAM39" s="704"/>
      <c r="TAN39" s="704"/>
      <c r="TAO39" s="704"/>
      <c r="TAP39" s="704"/>
      <c r="TAQ39" s="704"/>
      <c r="TAR39" s="704"/>
      <c r="TAS39" s="704"/>
      <c r="TAT39" s="704"/>
      <c r="TAU39" s="704"/>
      <c r="TAV39" s="704"/>
      <c r="TAW39" s="704"/>
      <c r="TAX39" s="704"/>
      <c r="TAY39" s="704"/>
      <c r="TAZ39" s="704"/>
      <c r="TBA39" s="704"/>
      <c r="TBB39" s="704"/>
      <c r="TBC39" s="704"/>
      <c r="TBD39" s="704"/>
      <c r="TBE39" s="704"/>
      <c r="TBF39" s="704"/>
      <c r="TBG39" s="704"/>
      <c r="TBH39" s="704"/>
      <c r="TBI39" s="704"/>
      <c r="TBJ39" s="704"/>
      <c r="TBK39" s="704"/>
      <c r="TBL39" s="704"/>
      <c r="TBM39" s="704"/>
      <c r="TBN39" s="704"/>
      <c r="TBO39" s="704"/>
      <c r="TBP39" s="704"/>
      <c r="TBQ39" s="704"/>
      <c r="TBR39" s="704"/>
      <c r="TBS39" s="704"/>
      <c r="TBT39" s="704"/>
      <c r="TBU39" s="704"/>
      <c r="TBV39" s="704"/>
      <c r="TBW39" s="704"/>
      <c r="TBX39" s="704"/>
      <c r="TBY39" s="704"/>
      <c r="TBZ39" s="704"/>
      <c r="TCA39" s="704"/>
      <c r="TCB39" s="704"/>
      <c r="TCC39" s="704"/>
      <c r="TCD39" s="704"/>
      <c r="TCE39" s="704"/>
      <c r="TCF39" s="704"/>
      <c r="TCG39" s="704"/>
      <c r="TCH39" s="704"/>
      <c r="TCI39" s="704"/>
      <c r="TCJ39" s="704"/>
      <c r="TCK39" s="704"/>
      <c r="TCL39" s="704"/>
      <c r="TCM39" s="704"/>
      <c r="TCN39" s="704"/>
      <c r="TCO39" s="704"/>
      <c r="TCP39" s="704"/>
      <c r="TCQ39" s="704"/>
      <c r="TCR39" s="704"/>
      <c r="TCS39" s="704"/>
      <c r="TCT39" s="704"/>
      <c r="TCU39" s="704"/>
      <c r="TCV39" s="704"/>
      <c r="TCW39" s="704"/>
      <c r="TCX39" s="704"/>
      <c r="TCY39" s="704"/>
      <c r="TCZ39" s="704"/>
      <c r="TDA39" s="704"/>
      <c r="TDB39" s="704"/>
      <c r="TDC39" s="704"/>
      <c r="TDD39" s="704"/>
      <c r="TDE39" s="704"/>
      <c r="TDF39" s="704"/>
      <c r="TDG39" s="704"/>
      <c r="TDH39" s="704"/>
      <c r="TDI39" s="704"/>
      <c r="TDJ39" s="704"/>
      <c r="TDK39" s="704"/>
      <c r="TDL39" s="704"/>
      <c r="TDM39" s="704"/>
      <c r="TDN39" s="704"/>
      <c r="TDO39" s="704"/>
      <c r="TDP39" s="704"/>
      <c r="TDQ39" s="704"/>
      <c r="TDR39" s="704"/>
      <c r="TDS39" s="704"/>
      <c r="TDT39" s="704"/>
      <c r="TDU39" s="704"/>
      <c r="TDV39" s="704"/>
      <c r="TDW39" s="704"/>
      <c r="TDX39" s="704"/>
      <c r="TDY39" s="704"/>
      <c r="TDZ39" s="704"/>
      <c r="TEA39" s="704"/>
      <c r="TEB39" s="704"/>
      <c r="TEC39" s="704"/>
      <c r="TED39" s="704"/>
      <c r="TEE39" s="704"/>
      <c r="TEF39" s="704"/>
      <c r="TEG39" s="704"/>
      <c r="TEH39" s="704"/>
      <c r="TEI39" s="704"/>
      <c r="TEJ39" s="704"/>
      <c r="TEK39" s="704"/>
      <c r="TEL39" s="704"/>
      <c r="TEM39" s="704"/>
      <c r="TEN39" s="704"/>
      <c r="TEO39" s="704"/>
      <c r="TEP39" s="704"/>
      <c r="TEQ39" s="704"/>
      <c r="TER39" s="704"/>
      <c r="TES39" s="704"/>
      <c r="TET39" s="704"/>
      <c r="TEU39" s="704"/>
      <c r="TEV39" s="704"/>
      <c r="TEW39" s="704"/>
      <c r="TEX39" s="704"/>
      <c r="TEY39" s="704"/>
      <c r="TEZ39" s="704"/>
      <c r="TFA39" s="704"/>
      <c r="TFB39" s="704"/>
      <c r="TFC39" s="704"/>
      <c r="TFD39" s="704"/>
      <c r="TFE39" s="704"/>
      <c r="TFF39" s="704"/>
      <c r="TFG39" s="704"/>
      <c r="TFH39" s="704"/>
      <c r="TFI39" s="704"/>
      <c r="TFJ39" s="704"/>
      <c r="TFK39" s="704"/>
      <c r="TFL39" s="704"/>
      <c r="TFM39" s="704"/>
      <c r="TFN39" s="704"/>
      <c r="TFO39" s="704"/>
      <c r="TFP39" s="704"/>
      <c r="TFQ39" s="704"/>
      <c r="TFR39" s="704"/>
      <c r="TFS39" s="704"/>
      <c r="TFT39" s="704"/>
      <c r="TFU39" s="704"/>
      <c r="TFV39" s="704"/>
      <c r="TFW39" s="704"/>
      <c r="TFX39" s="704"/>
      <c r="TFY39" s="704"/>
      <c r="TFZ39" s="704"/>
      <c r="TGA39" s="704"/>
      <c r="TGB39" s="704"/>
      <c r="TGC39" s="704"/>
      <c r="TGD39" s="704"/>
      <c r="TGE39" s="704"/>
      <c r="TGF39" s="704"/>
      <c r="TGG39" s="704"/>
      <c r="TGH39" s="704"/>
      <c r="TGI39" s="704"/>
      <c r="TGJ39" s="704"/>
      <c r="TGK39" s="704"/>
      <c r="TGL39" s="704"/>
      <c r="TGM39" s="704"/>
      <c r="TGN39" s="704"/>
      <c r="TGO39" s="704"/>
      <c r="TGP39" s="704"/>
      <c r="TGQ39" s="704"/>
      <c r="TGR39" s="704"/>
      <c r="TGS39" s="704"/>
      <c r="TGT39" s="704"/>
      <c r="TGU39" s="704"/>
      <c r="TGV39" s="704"/>
      <c r="TGW39" s="704"/>
      <c r="TGX39" s="704"/>
      <c r="TGY39" s="704"/>
      <c r="TGZ39" s="704"/>
      <c r="THA39" s="704"/>
      <c r="THB39" s="704"/>
      <c r="THC39" s="704"/>
      <c r="THD39" s="704"/>
      <c r="THE39" s="704"/>
      <c r="THF39" s="704"/>
      <c r="THG39" s="704"/>
      <c r="THH39" s="704"/>
      <c r="THI39" s="704"/>
      <c r="THJ39" s="704"/>
      <c r="THK39" s="704"/>
      <c r="THL39" s="704"/>
      <c r="THM39" s="704"/>
      <c r="THN39" s="704"/>
      <c r="THO39" s="704"/>
      <c r="THP39" s="704"/>
      <c r="THQ39" s="704"/>
      <c r="THR39" s="704"/>
      <c r="THS39" s="704"/>
      <c r="THT39" s="704"/>
      <c r="THU39" s="704"/>
      <c r="THV39" s="704"/>
      <c r="THW39" s="704"/>
      <c r="THX39" s="704"/>
      <c r="THY39" s="704"/>
      <c r="THZ39" s="704"/>
      <c r="TIA39" s="704"/>
      <c r="TIB39" s="704"/>
      <c r="TIC39" s="704"/>
      <c r="TID39" s="704"/>
      <c r="TIE39" s="704"/>
      <c r="TIF39" s="704"/>
      <c r="TIG39" s="704"/>
      <c r="TIH39" s="704"/>
      <c r="TII39" s="704"/>
      <c r="TIJ39" s="704"/>
      <c r="TIK39" s="704"/>
      <c r="TIL39" s="704"/>
      <c r="TIM39" s="704"/>
      <c r="TIN39" s="704"/>
      <c r="TIO39" s="704"/>
      <c r="TIP39" s="704"/>
      <c r="TIQ39" s="704"/>
      <c r="TIR39" s="704"/>
      <c r="TIS39" s="704"/>
      <c r="TIT39" s="704"/>
      <c r="TIU39" s="704"/>
      <c r="TIV39" s="704"/>
      <c r="TIW39" s="704"/>
      <c r="TIX39" s="704"/>
      <c r="TIY39" s="704"/>
      <c r="TIZ39" s="704"/>
      <c r="TJA39" s="704"/>
      <c r="TJB39" s="704"/>
      <c r="TJC39" s="704"/>
      <c r="TJD39" s="704"/>
      <c r="TJE39" s="704"/>
      <c r="TJF39" s="704"/>
      <c r="TJG39" s="704"/>
      <c r="TJH39" s="704"/>
      <c r="TJI39" s="704"/>
      <c r="TJJ39" s="704"/>
      <c r="TJK39" s="704"/>
      <c r="TJL39" s="704"/>
      <c r="TJM39" s="704"/>
      <c r="TJN39" s="704"/>
      <c r="TJO39" s="704"/>
      <c r="TJP39" s="704"/>
      <c r="TJQ39" s="704"/>
      <c r="TJR39" s="704"/>
      <c r="TJS39" s="704"/>
      <c r="TJT39" s="704"/>
      <c r="TJU39" s="704"/>
      <c r="TJV39" s="704"/>
      <c r="TJW39" s="704"/>
      <c r="TJX39" s="704"/>
      <c r="TJY39" s="704"/>
      <c r="TJZ39" s="704"/>
      <c r="TKA39" s="704"/>
      <c r="TKB39" s="704"/>
      <c r="TKC39" s="704"/>
      <c r="TKD39" s="704"/>
      <c r="TKE39" s="704"/>
      <c r="TKF39" s="704"/>
      <c r="TKG39" s="704"/>
      <c r="TKH39" s="704"/>
      <c r="TKI39" s="704"/>
      <c r="TKJ39" s="704"/>
      <c r="TKK39" s="704"/>
      <c r="TKL39" s="704"/>
      <c r="TKM39" s="704"/>
      <c r="TKN39" s="704"/>
      <c r="TKO39" s="704"/>
      <c r="TKP39" s="704"/>
      <c r="TKQ39" s="704"/>
      <c r="TKR39" s="704"/>
      <c r="TKS39" s="704"/>
      <c r="TKT39" s="704"/>
      <c r="TKU39" s="704"/>
      <c r="TKV39" s="704"/>
      <c r="TKW39" s="704"/>
      <c r="TKX39" s="704"/>
      <c r="TKY39" s="704"/>
      <c r="TKZ39" s="704"/>
      <c r="TLA39" s="704"/>
      <c r="TLB39" s="704"/>
      <c r="TLC39" s="704"/>
      <c r="TLD39" s="704"/>
      <c r="TLE39" s="704"/>
      <c r="TLF39" s="704"/>
      <c r="TLG39" s="704"/>
      <c r="TLH39" s="704"/>
      <c r="TLI39" s="704"/>
      <c r="TLJ39" s="704"/>
      <c r="TLK39" s="704"/>
      <c r="TLL39" s="704"/>
      <c r="TLM39" s="704"/>
      <c r="TLN39" s="704"/>
      <c r="TLO39" s="704"/>
      <c r="TLP39" s="704"/>
      <c r="TLQ39" s="704"/>
      <c r="TLR39" s="704"/>
      <c r="TLS39" s="704"/>
      <c r="TLT39" s="704"/>
      <c r="TLU39" s="704"/>
      <c r="TLV39" s="704"/>
      <c r="TLW39" s="704"/>
      <c r="TLX39" s="704"/>
      <c r="TLY39" s="704"/>
      <c r="TLZ39" s="704"/>
      <c r="TMA39" s="704"/>
      <c r="TMB39" s="704"/>
      <c r="TMC39" s="704"/>
      <c r="TMD39" s="704"/>
      <c r="TME39" s="704"/>
      <c r="TMF39" s="704"/>
      <c r="TMG39" s="704"/>
      <c r="TMH39" s="704"/>
      <c r="TMI39" s="704"/>
      <c r="TMJ39" s="704"/>
      <c r="TMK39" s="704"/>
      <c r="TML39" s="704"/>
      <c r="TMM39" s="704"/>
      <c r="TMN39" s="704"/>
      <c r="TMO39" s="704"/>
      <c r="TMP39" s="704"/>
      <c r="TMQ39" s="704"/>
      <c r="TMR39" s="704"/>
      <c r="TMS39" s="704"/>
      <c r="TMT39" s="704"/>
      <c r="TMU39" s="704"/>
      <c r="TMV39" s="704"/>
      <c r="TMW39" s="704"/>
      <c r="TMX39" s="704"/>
      <c r="TMY39" s="704"/>
      <c r="TMZ39" s="704"/>
      <c r="TNA39" s="704"/>
      <c r="TNB39" s="704"/>
      <c r="TNC39" s="704"/>
      <c r="TND39" s="704"/>
      <c r="TNE39" s="704"/>
      <c r="TNF39" s="704"/>
      <c r="TNG39" s="704"/>
      <c r="TNH39" s="704"/>
      <c r="TNI39" s="704"/>
      <c r="TNJ39" s="704"/>
      <c r="TNK39" s="704"/>
      <c r="TNL39" s="704"/>
      <c r="TNM39" s="704"/>
      <c r="TNN39" s="704"/>
      <c r="TNO39" s="704"/>
      <c r="TNP39" s="704"/>
      <c r="TNQ39" s="704"/>
      <c r="TNR39" s="704"/>
      <c r="TNS39" s="704"/>
      <c r="TNT39" s="704"/>
      <c r="TNU39" s="704"/>
      <c r="TNV39" s="704"/>
      <c r="TNW39" s="704"/>
      <c r="TNX39" s="704"/>
      <c r="TNY39" s="704"/>
      <c r="TNZ39" s="704"/>
      <c r="TOA39" s="704"/>
      <c r="TOB39" s="704"/>
      <c r="TOC39" s="704"/>
      <c r="TOD39" s="704"/>
      <c r="TOE39" s="704"/>
      <c r="TOF39" s="704"/>
      <c r="TOG39" s="704"/>
      <c r="TOH39" s="704"/>
      <c r="TOI39" s="704"/>
      <c r="TOJ39" s="704"/>
      <c r="TOK39" s="704"/>
      <c r="TOL39" s="704"/>
      <c r="TOM39" s="704"/>
      <c r="TON39" s="704"/>
      <c r="TOO39" s="704"/>
      <c r="TOP39" s="704"/>
      <c r="TOQ39" s="704"/>
      <c r="TOR39" s="704"/>
      <c r="TOS39" s="704"/>
      <c r="TOT39" s="704"/>
      <c r="TOU39" s="704"/>
      <c r="TOV39" s="704"/>
      <c r="TOW39" s="704"/>
      <c r="TOX39" s="704"/>
      <c r="TOY39" s="704"/>
      <c r="TOZ39" s="704"/>
      <c r="TPA39" s="704"/>
      <c r="TPB39" s="704"/>
      <c r="TPC39" s="704"/>
      <c r="TPD39" s="704"/>
      <c r="TPE39" s="704"/>
      <c r="TPF39" s="704"/>
      <c r="TPG39" s="704"/>
      <c r="TPH39" s="704"/>
      <c r="TPI39" s="704"/>
      <c r="TPJ39" s="704"/>
      <c r="TPK39" s="704"/>
      <c r="TPL39" s="704"/>
      <c r="TPM39" s="704"/>
      <c r="TPN39" s="704"/>
      <c r="TPO39" s="704"/>
      <c r="TPP39" s="704"/>
      <c r="TPQ39" s="704"/>
      <c r="TPR39" s="704"/>
      <c r="TPS39" s="704"/>
      <c r="TPT39" s="704"/>
      <c r="TPU39" s="704"/>
      <c r="TPV39" s="704"/>
      <c r="TPW39" s="704"/>
      <c r="TPX39" s="704"/>
      <c r="TPY39" s="704"/>
      <c r="TPZ39" s="704"/>
      <c r="TQA39" s="704"/>
      <c r="TQB39" s="704"/>
      <c r="TQC39" s="704"/>
      <c r="TQD39" s="704"/>
      <c r="TQE39" s="704"/>
      <c r="TQF39" s="704"/>
      <c r="TQG39" s="704"/>
      <c r="TQH39" s="704"/>
      <c r="TQI39" s="704"/>
      <c r="TQJ39" s="704"/>
      <c r="TQK39" s="704"/>
      <c r="TQL39" s="704"/>
      <c r="TQM39" s="704"/>
      <c r="TQN39" s="704"/>
      <c r="TQO39" s="704"/>
      <c r="TQP39" s="704"/>
      <c r="TQQ39" s="704"/>
      <c r="TQR39" s="704"/>
      <c r="TQS39" s="704"/>
      <c r="TQT39" s="704"/>
      <c r="TQU39" s="704"/>
      <c r="TQV39" s="704"/>
      <c r="TQW39" s="704"/>
      <c r="TQX39" s="704"/>
      <c r="TQY39" s="704"/>
      <c r="TQZ39" s="704"/>
      <c r="TRA39" s="704"/>
      <c r="TRB39" s="704"/>
      <c r="TRC39" s="704"/>
      <c r="TRD39" s="704"/>
      <c r="TRE39" s="704"/>
      <c r="TRF39" s="704"/>
      <c r="TRG39" s="704"/>
      <c r="TRH39" s="704"/>
      <c r="TRI39" s="704"/>
      <c r="TRJ39" s="704"/>
      <c r="TRK39" s="704"/>
      <c r="TRL39" s="704"/>
      <c r="TRM39" s="704"/>
      <c r="TRN39" s="704"/>
      <c r="TRO39" s="704"/>
      <c r="TRP39" s="704"/>
      <c r="TRQ39" s="704"/>
      <c r="TRR39" s="704"/>
      <c r="TRS39" s="704"/>
      <c r="TRT39" s="704"/>
      <c r="TRU39" s="704"/>
      <c r="TRV39" s="704"/>
      <c r="TRW39" s="704"/>
      <c r="TRX39" s="704"/>
      <c r="TRY39" s="704"/>
      <c r="TRZ39" s="704"/>
      <c r="TSA39" s="704"/>
      <c r="TSB39" s="704"/>
      <c r="TSC39" s="704"/>
      <c r="TSD39" s="704"/>
      <c r="TSE39" s="704"/>
      <c r="TSF39" s="704"/>
      <c r="TSG39" s="704"/>
      <c r="TSH39" s="704"/>
      <c r="TSI39" s="704"/>
      <c r="TSJ39" s="704"/>
      <c r="TSK39" s="704"/>
      <c r="TSL39" s="704"/>
      <c r="TSM39" s="704"/>
      <c r="TSN39" s="704"/>
      <c r="TSO39" s="704"/>
      <c r="TSP39" s="704"/>
      <c r="TSQ39" s="704"/>
      <c r="TSR39" s="704"/>
      <c r="TSS39" s="704"/>
      <c r="TST39" s="704"/>
      <c r="TSU39" s="704"/>
      <c r="TSV39" s="704"/>
      <c r="TSW39" s="704"/>
      <c r="TSX39" s="704"/>
      <c r="TSY39" s="704"/>
      <c r="TSZ39" s="704"/>
      <c r="TTA39" s="704"/>
      <c r="TTB39" s="704"/>
      <c r="TTC39" s="704"/>
      <c r="TTD39" s="704"/>
      <c r="TTE39" s="704"/>
      <c r="TTF39" s="704"/>
      <c r="TTG39" s="704"/>
      <c r="TTH39" s="704"/>
      <c r="TTI39" s="704"/>
      <c r="TTJ39" s="704"/>
      <c r="TTK39" s="704"/>
      <c r="TTL39" s="704"/>
      <c r="TTM39" s="704"/>
      <c r="TTN39" s="704"/>
      <c r="TTO39" s="704"/>
      <c r="TTP39" s="704"/>
      <c r="TTQ39" s="704"/>
      <c r="TTR39" s="704"/>
      <c r="TTS39" s="704"/>
      <c r="TTT39" s="704"/>
      <c r="TTU39" s="704"/>
      <c r="TTV39" s="704"/>
      <c r="TTW39" s="704"/>
      <c r="TTX39" s="704"/>
      <c r="TTY39" s="704"/>
      <c r="TTZ39" s="704"/>
      <c r="TUA39" s="704"/>
      <c r="TUB39" s="704"/>
      <c r="TUC39" s="704"/>
      <c r="TUD39" s="704"/>
      <c r="TUE39" s="704"/>
      <c r="TUF39" s="704"/>
      <c r="TUG39" s="704"/>
      <c r="TUH39" s="704"/>
      <c r="TUI39" s="704"/>
      <c r="TUJ39" s="704"/>
      <c r="TUK39" s="704"/>
      <c r="TUL39" s="704"/>
      <c r="TUM39" s="704"/>
      <c r="TUN39" s="704"/>
      <c r="TUO39" s="704"/>
      <c r="TUP39" s="704"/>
      <c r="TUQ39" s="704"/>
      <c r="TUR39" s="704"/>
      <c r="TUS39" s="704"/>
      <c r="TUT39" s="704"/>
      <c r="TUU39" s="704"/>
      <c r="TUV39" s="704"/>
      <c r="TUW39" s="704"/>
      <c r="TUX39" s="704"/>
      <c r="TUY39" s="704"/>
      <c r="TUZ39" s="704"/>
      <c r="TVA39" s="704"/>
      <c r="TVB39" s="704"/>
      <c r="TVC39" s="704"/>
      <c r="TVD39" s="704"/>
      <c r="TVE39" s="704"/>
      <c r="TVF39" s="704"/>
      <c r="TVG39" s="704"/>
      <c r="TVH39" s="704"/>
      <c r="TVI39" s="704"/>
      <c r="TVJ39" s="704"/>
      <c r="TVK39" s="704"/>
      <c r="TVL39" s="704"/>
      <c r="TVM39" s="704"/>
      <c r="TVN39" s="704"/>
      <c r="TVO39" s="704"/>
      <c r="TVP39" s="704"/>
      <c r="TVQ39" s="704"/>
      <c r="TVR39" s="704"/>
      <c r="TVS39" s="704"/>
      <c r="TVT39" s="704"/>
      <c r="TVU39" s="704"/>
      <c r="TVV39" s="704"/>
      <c r="TVW39" s="704"/>
      <c r="TVX39" s="704"/>
      <c r="TVY39" s="704"/>
      <c r="TVZ39" s="704"/>
      <c r="TWA39" s="704"/>
      <c r="TWB39" s="704"/>
      <c r="TWC39" s="704"/>
      <c r="TWD39" s="704"/>
      <c r="TWE39" s="704"/>
      <c r="TWF39" s="704"/>
      <c r="TWG39" s="704"/>
      <c r="TWH39" s="704"/>
      <c r="TWI39" s="704"/>
      <c r="TWJ39" s="704"/>
      <c r="TWK39" s="704"/>
      <c r="TWL39" s="704"/>
      <c r="TWM39" s="704"/>
      <c r="TWN39" s="704"/>
      <c r="TWO39" s="704"/>
      <c r="TWP39" s="704"/>
      <c r="TWQ39" s="704"/>
      <c r="TWR39" s="704"/>
      <c r="TWS39" s="704"/>
      <c r="TWT39" s="704"/>
      <c r="TWU39" s="704"/>
      <c r="TWV39" s="704"/>
      <c r="TWW39" s="704"/>
      <c r="TWX39" s="704"/>
      <c r="TWY39" s="704"/>
      <c r="TWZ39" s="704"/>
      <c r="TXA39" s="704"/>
      <c r="TXB39" s="704"/>
      <c r="TXC39" s="704"/>
      <c r="TXD39" s="704"/>
      <c r="TXE39" s="704"/>
      <c r="TXF39" s="704"/>
      <c r="TXG39" s="704"/>
      <c r="TXH39" s="704"/>
      <c r="TXI39" s="704"/>
      <c r="TXJ39" s="704"/>
      <c r="TXK39" s="704"/>
      <c r="TXL39" s="704"/>
      <c r="TXM39" s="704"/>
      <c r="TXN39" s="704"/>
      <c r="TXO39" s="704"/>
      <c r="TXP39" s="704"/>
      <c r="TXQ39" s="704"/>
      <c r="TXR39" s="704"/>
      <c r="TXS39" s="704"/>
      <c r="TXT39" s="704"/>
      <c r="TXU39" s="704"/>
      <c r="TXV39" s="704"/>
      <c r="TXW39" s="704"/>
      <c r="TXX39" s="704"/>
      <c r="TXY39" s="704"/>
      <c r="TXZ39" s="704"/>
      <c r="TYA39" s="704"/>
      <c r="TYB39" s="704"/>
      <c r="TYC39" s="704"/>
      <c r="TYD39" s="704"/>
      <c r="TYE39" s="704"/>
      <c r="TYF39" s="704"/>
      <c r="TYG39" s="704"/>
      <c r="TYH39" s="704"/>
      <c r="TYI39" s="704"/>
      <c r="TYJ39" s="704"/>
      <c r="TYK39" s="704"/>
      <c r="TYL39" s="704"/>
      <c r="TYM39" s="704"/>
      <c r="TYN39" s="704"/>
      <c r="TYO39" s="704"/>
      <c r="TYP39" s="704"/>
      <c r="TYQ39" s="704"/>
      <c r="TYR39" s="704"/>
      <c r="TYS39" s="704"/>
      <c r="TYT39" s="704"/>
      <c r="TYU39" s="704"/>
      <c r="TYV39" s="704"/>
      <c r="TYW39" s="704"/>
      <c r="TYX39" s="704"/>
      <c r="TYY39" s="704"/>
      <c r="TYZ39" s="704"/>
      <c r="TZA39" s="704"/>
      <c r="TZB39" s="704"/>
      <c r="TZC39" s="704"/>
      <c r="TZD39" s="704"/>
      <c r="TZE39" s="704"/>
      <c r="TZF39" s="704"/>
      <c r="TZG39" s="704"/>
      <c r="TZH39" s="704"/>
      <c r="TZI39" s="704"/>
      <c r="TZJ39" s="704"/>
      <c r="TZK39" s="704"/>
      <c r="TZL39" s="704"/>
      <c r="TZM39" s="704"/>
      <c r="TZN39" s="704"/>
      <c r="TZO39" s="704"/>
      <c r="TZP39" s="704"/>
      <c r="TZQ39" s="704"/>
      <c r="TZR39" s="704"/>
      <c r="TZS39" s="704"/>
      <c r="TZT39" s="704"/>
      <c r="TZU39" s="704"/>
      <c r="TZV39" s="704"/>
      <c r="TZW39" s="704"/>
      <c r="TZX39" s="704"/>
      <c r="TZY39" s="704"/>
      <c r="TZZ39" s="704"/>
      <c r="UAA39" s="704"/>
      <c r="UAB39" s="704"/>
      <c r="UAC39" s="704"/>
      <c r="UAD39" s="704"/>
      <c r="UAE39" s="704"/>
      <c r="UAF39" s="704"/>
      <c r="UAG39" s="704"/>
      <c r="UAH39" s="704"/>
      <c r="UAI39" s="704"/>
      <c r="UAJ39" s="704"/>
      <c r="UAK39" s="704"/>
      <c r="UAL39" s="704"/>
      <c r="UAM39" s="704"/>
      <c r="UAN39" s="704"/>
      <c r="UAO39" s="704"/>
      <c r="UAP39" s="704"/>
      <c r="UAQ39" s="704"/>
      <c r="UAR39" s="704"/>
      <c r="UAS39" s="704"/>
      <c r="UAT39" s="704"/>
      <c r="UAU39" s="704"/>
      <c r="UAV39" s="704"/>
      <c r="UAW39" s="704"/>
      <c r="UAX39" s="704"/>
      <c r="UAY39" s="704"/>
      <c r="UAZ39" s="704"/>
      <c r="UBA39" s="704"/>
      <c r="UBB39" s="704"/>
      <c r="UBC39" s="704"/>
      <c r="UBD39" s="704"/>
      <c r="UBE39" s="704"/>
      <c r="UBF39" s="704"/>
      <c r="UBG39" s="704"/>
      <c r="UBH39" s="704"/>
      <c r="UBI39" s="704"/>
      <c r="UBJ39" s="704"/>
      <c r="UBK39" s="704"/>
      <c r="UBL39" s="704"/>
      <c r="UBM39" s="704"/>
      <c r="UBN39" s="704"/>
      <c r="UBO39" s="704"/>
      <c r="UBP39" s="704"/>
      <c r="UBQ39" s="704"/>
      <c r="UBR39" s="704"/>
      <c r="UBS39" s="704"/>
      <c r="UBT39" s="704"/>
      <c r="UBU39" s="704"/>
      <c r="UBV39" s="704"/>
      <c r="UBW39" s="704"/>
      <c r="UBX39" s="704"/>
      <c r="UBY39" s="704"/>
      <c r="UBZ39" s="704"/>
      <c r="UCA39" s="704"/>
      <c r="UCB39" s="704"/>
      <c r="UCC39" s="704"/>
      <c r="UCD39" s="704"/>
      <c r="UCE39" s="704"/>
      <c r="UCF39" s="704"/>
      <c r="UCG39" s="704"/>
      <c r="UCH39" s="704"/>
      <c r="UCI39" s="704"/>
      <c r="UCJ39" s="704"/>
      <c r="UCK39" s="704"/>
      <c r="UCL39" s="704"/>
      <c r="UCM39" s="704"/>
      <c r="UCN39" s="704"/>
      <c r="UCO39" s="704"/>
      <c r="UCP39" s="704"/>
      <c r="UCQ39" s="704"/>
      <c r="UCR39" s="704"/>
      <c r="UCS39" s="704"/>
      <c r="UCT39" s="704"/>
      <c r="UCU39" s="704"/>
      <c r="UCV39" s="704"/>
      <c r="UCW39" s="704"/>
      <c r="UCX39" s="704"/>
      <c r="UCY39" s="704"/>
      <c r="UCZ39" s="704"/>
      <c r="UDA39" s="704"/>
      <c r="UDB39" s="704"/>
      <c r="UDC39" s="704"/>
      <c r="UDD39" s="704"/>
      <c r="UDE39" s="704"/>
      <c r="UDF39" s="704"/>
      <c r="UDG39" s="704"/>
      <c r="UDH39" s="704"/>
      <c r="UDI39" s="704"/>
      <c r="UDJ39" s="704"/>
      <c r="UDK39" s="704"/>
      <c r="UDL39" s="704"/>
      <c r="UDM39" s="704"/>
      <c r="UDN39" s="704"/>
      <c r="UDO39" s="704"/>
      <c r="UDP39" s="704"/>
      <c r="UDQ39" s="704"/>
      <c r="UDR39" s="704"/>
      <c r="UDS39" s="704"/>
      <c r="UDT39" s="704"/>
      <c r="UDU39" s="704"/>
      <c r="UDV39" s="704"/>
      <c r="UDW39" s="704"/>
      <c r="UDX39" s="704"/>
      <c r="UDY39" s="704"/>
      <c r="UDZ39" s="704"/>
      <c r="UEA39" s="704"/>
      <c r="UEB39" s="704"/>
      <c r="UEC39" s="704"/>
      <c r="UED39" s="704"/>
      <c r="UEE39" s="704"/>
      <c r="UEF39" s="704"/>
      <c r="UEG39" s="704"/>
      <c r="UEH39" s="704"/>
      <c r="UEI39" s="704"/>
      <c r="UEJ39" s="704"/>
      <c r="UEK39" s="704"/>
      <c r="UEL39" s="704"/>
      <c r="UEM39" s="704"/>
      <c r="UEN39" s="704"/>
      <c r="UEO39" s="704"/>
      <c r="UEP39" s="704"/>
      <c r="UEQ39" s="704"/>
      <c r="UER39" s="704"/>
      <c r="UES39" s="704"/>
      <c r="UET39" s="704"/>
      <c r="UEU39" s="704"/>
      <c r="UEV39" s="704"/>
      <c r="UEW39" s="704"/>
      <c r="UEX39" s="704"/>
      <c r="UEY39" s="704"/>
      <c r="UEZ39" s="704"/>
      <c r="UFA39" s="704"/>
      <c r="UFB39" s="704"/>
      <c r="UFC39" s="704"/>
      <c r="UFD39" s="704"/>
      <c r="UFE39" s="704"/>
      <c r="UFF39" s="704"/>
      <c r="UFG39" s="704"/>
      <c r="UFH39" s="704"/>
      <c r="UFI39" s="704"/>
      <c r="UFJ39" s="704"/>
      <c r="UFK39" s="704"/>
      <c r="UFL39" s="704"/>
      <c r="UFM39" s="704"/>
      <c r="UFN39" s="704"/>
      <c r="UFO39" s="704"/>
      <c r="UFP39" s="704"/>
      <c r="UFQ39" s="704"/>
      <c r="UFR39" s="704"/>
      <c r="UFS39" s="704"/>
      <c r="UFT39" s="704"/>
      <c r="UFU39" s="704"/>
      <c r="UFV39" s="704"/>
      <c r="UFW39" s="704"/>
      <c r="UFX39" s="704"/>
      <c r="UFY39" s="704"/>
      <c r="UFZ39" s="704"/>
      <c r="UGA39" s="704"/>
      <c r="UGB39" s="704"/>
      <c r="UGC39" s="704"/>
      <c r="UGD39" s="704"/>
      <c r="UGE39" s="704"/>
      <c r="UGF39" s="704"/>
      <c r="UGG39" s="704"/>
      <c r="UGH39" s="704"/>
      <c r="UGI39" s="704"/>
      <c r="UGJ39" s="704"/>
      <c r="UGK39" s="704"/>
      <c r="UGL39" s="704"/>
      <c r="UGM39" s="704"/>
      <c r="UGN39" s="704"/>
      <c r="UGO39" s="704"/>
      <c r="UGP39" s="704"/>
      <c r="UGQ39" s="704"/>
      <c r="UGR39" s="704"/>
      <c r="UGS39" s="704"/>
      <c r="UGT39" s="704"/>
      <c r="UGU39" s="704"/>
      <c r="UGV39" s="704"/>
      <c r="UGW39" s="704"/>
      <c r="UGX39" s="704"/>
      <c r="UGY39" s="704"/>
      <c r="UGZ39" s="704"/>
      <c r="UHA39" s="704"/>
      <c r="UHB39" s="704"/>
      <c r="UHC39" s="704"/>
      <c r="UHD39" s="704"/>
      <c r="UHE39" s="704"/>
      <c r="UHF39" s="704"/>
      <c r="UHG39" s="704"/>
      <c r="UHH39" s="704"/>
      <c r="UHI39" s="704"/>
      <c r="UHJ39" s="704"/>
      <c r="UHK39" s="704"/>
      <c r="UHL39" s="704"/>
      <c r="UHM39" s="704"/>
      <c r="UHN39" s="704"/>
      <c r="UHO39" s="704"/>
      <c r="UHP39" s="704"/>
      <c r="UHQ39" s="704"/>
      <c r="UHR39" s="704"/>
      <c r="UHS39" s="704"/>
      <c r="UHT39" s="704"/>
      <c r="UHU39" s="704"/>
      <c r="UHV39" s="704"/>
      <c r="UHW39" s="704"/>
      <c r="UHX39" s="704"/>
      <c r="UHY39" s="704"/>
      <c r="UHZ39" s="704"/>
      <c r="UIA39" s="704"/>
      <c r="UIB39" s="704"/>
      <c r="UIC39" s="704"/>
      <c r="UID39" s="704"/>
      <c r="UIE39" s="704"/>
      <c r="UIF39" s="704"/>
      <c r="UIG39" s="704"/>
      <c r="UIH39" s="704"/>
      <c r="UII39" s="704"/>
      <c r="UIJ39" s="704"/>
      <c r="UIK39" s="704"/>
      <c r="UIL39" s="704"/>
      <c r="UIM39" s="704"/>
      <c r="UIN39" s="704"/>
      <c r="UIO39" s="704"/>
      <c r="UIP39" s="704"/>
      <c r="UIQ39" s="704"/>
      <c r="UIR39" s="704"/>
      <c r="UIS39" s="704"/>
      <c r="UIT39" s="704"/>
      <c r="UIU39" s="704"/>
      <c r="UIV39" s="704"/>
      <c r="UIW39" s="704"/>
      <c r="UIX39" s="704"/>
      <c r="UIY39" s="704"/>
      <c r="UIZ39" s="704"/>
      <c r="UJA39" s="704"/>
      <c r="UJB39" s="704"/>
      <c r="UJC39" s="704"/>
      <c r="UJD39" s="704"/>
      <c r="UJE39" s="704"/>
      <c r="UJF39" s="704"/>
      <c r="UJG39" s="704"/>
      <c r="UJH39" s="704"/>
      <c r="UJI39" s="704"/>
      <c r="UJJ39" s="704"/>
      <c r="UJK39" s="704"/>
      <c r="UJL39" s="704"/>
      <c r="UJM39" s="704"/>
      <c r="UJN39" s="704"/>
      <c r="UJO39" s="704"/>
      <c r="UJP39" s="704"/>
      <c r="UJQ39" s="704"/>
      <c r="UJR39" s="704"/>
      <c r="UJS39" s="704"/>
      <c r="UJT39" s="704"/>
      <c r="UJU39" s="704"/>
      <c r="UJV39" s="704"/>
      <c r="UJW39" s="704"/>
      <c r="UJX39" s="704"/>
      <c r="UJY39" s="704"/>
      <c r="UJZ39" s="704"/>
      <c r="UKA39" s="704"/>
      <c r="UKB39" s="704"/>
      <c r="UKC39" s="704"/>
      <c r="UKD39" s="704"/>
      <c r="UKE39" s="704"/>
      <c r="UKF39" s="704"/>
      <c r="UKG39" s="704"/>
      <c r="UKH39" s="704"/>
      <c r="UKI39" s="704"/>
      <c r="UKJ39" s="704"/>
      <c r="UKK39" s="704"/>
      <c r="UKL39" s="704"/>
      <c r="UKM39" s="704"/>
      <c r="UKN39" s="704"/>
      <c r="UKO39" s="704"/>
      <c r="UKP39" s="704"/>
      <c r="UKQ39" s="704"/>
      <c r="UKR39" s="704"/>
      <c r="UKS39" s="704"/>
      <c r="UKT39" s="704"/>
      <c r="UKU39" s="704"/>
      <c r="UKV39" s="704"/>
      <c r="UKW39" s="704"/>
      <c r="UKX39" s="704"/>
      <c r="UKY39" s="704"/>
      <c r="UKZ39" s="704"/>
      <c r="ULA39" s="704"/>
      <c r="ULB39" s="704"/>
      <c r="ULC39" s="704"/>
      <c r="ULD39" s="704"/>
      <c r="ULE39" s="704"/>
      <c r="ULF39" s="704"/>
      <c r="ULG39" s="704"/>
      <c r="ULH39" s="704"/>
      <c r="ULI39" s="704"/>
      <c r="ULJ39" s="704"/>
      <c r="ULK39" s="704"/>
      <c r="ULL39" s="704"/>
      <c r="ULM39" s="704"/>
      <c r="ULN39" s="704"/>
      <c r="ULO39" s="704"/>
      <c r="ULP39" s="704"/>
      <c r="ULQ39" s="704"/>
      <c r="ULR39" s="704"/>
      <c r="ULS39" s="704"/>
      <c r="ULT39" s="704"/>
      <c r="ULU39" s="704"/>
      <c r="ULV39" s="704"/>
      <c r="ULW39" s="704"/>
      <c r="ULX39" s="704"/>
      <c r="ULY39" s="704"/>
      <c r="ULZ39" s="704"/>
      <c r="UMA39" s="704"/>
      <c r="UMB39" s="704"/>
      <c r="UMC39" s="704"/>
      <c r="UMD39" s="704"/>
      <c r="UME39" s="704"/>
      <c r="UMF39" s="704"/>
      <c r="UMG39" s="704"/>
      <c r="UMH39" s="704"/>
      <c r="UMI39" s="704"/>
      <c r="UMJ39" s="704"/>
      <c r="UMK39" s="704"/>
      <c r="UML39" s="704"/>
      <c r="UMM39" s="704"/>
      <c r="UMN39" s="704"/>
      <c r="UMO39" s="704"/>
      <c r="UMP39" s="704"/>
      <c r="UMQ39" s="704"/>
      <c r="UMR39" s="704"/>
      <c r="UMS39" s="704"/>
      <c r="UMT39" s="704"/>
      <c r="UMU39" s="704"/>
      <c r="UMV39" s="704"/>
      <c r="UMW39" s="704"/>
      <c r="UMX39" s="704"/>
      <c r="UMY39" s="704"/>
      <c r="UMZ39" s="704"/>
      <c r="UNA39" s="704"/>
      <c r="UNB39" s="704"/>
      <c r="UNC39" s="704"/>
      <c r="UND39" s="704"/>
      <c r="UNE39" s="704"/>
      <c r="UNF39" s="704"/>
      <c r="UNG39" s="704"/>
      <c r="UNH39" s="704"/>
      <c r="UNI39" s="704"/>
      <c r="UNJ39" s="704"/>
      <c r="UNK39" s="704"/>
      <c r="UNL39" s="704"/>
      <c r="UNM39" s="704"/>
      <c r="UNN39" s="704"/>
      <c r="UNO39" s="704"/>
      <c r="UNP39" s="704"/>
      <c r="UNQ39" s="704"/>
      <c r="UNR39" s="704"/>
      <c r="UNS39" s="704"/>
      <c r="UNT39" s="704"/>
      <c r="UNU39" s="704"/>
      <c r="UNV39" s="704"/>
      <c r="UNW39" s="704"/>
      <c r="UNX39" s="704"/>
      <c r="UNY39" s="704"/>
      <c r="UNZ39" s="704"/>
      <c r="UOA39" s="704"/>
      <c r="UOB39" s="704"/>
      <c r="UOC39" s="704"/>
      <c r="UOD39" s="704"/>
      <c r="UOE39" s="704"/>
      <c r="UOF39" s="704"/>
      <c r="UOG39" s="704"/>
      <c r="UOH39" s="704"/>
      <c r="UOI39" s="704"/>
      <c r="UOJ39" s="704"/>
      <c r="UOK39" s="704"/>
      <c r="UOL39" s="704"/>
      <c r="UOM39" s="704"/>
      <c r="UON39" s="704"/>
      <c r="UOO39" s="704"/>
      <c r="UOP39" s="704"/>
      <c r="UOQ39" s="704"/>
      <c r="UOR39" s="704"/>
      <c r="UOS39" s="704"/>
      <c r="UOT39" s="704"/>
      <c r="UOU39" s="704"/>
      <c r="UOV39" s="704"/>
      <c r="UOW39" s="704"/>
      <c r="UOX39" s="704"/>
      <c r="UOY39" s="704"/>
      <c r="UOZ39" s="704"/>
      <c r="UPA39" s="704"/>
      <c r="UPB39" s="704"/>
      <c r="UPC39" s="704"/>
      <c r="UPD39" s="704"/>
      <c r="UPE39" s="704"/>
      <c r="UPF39" s="704"/>
      <c r="UPG39" s="704"/>
      <c r="UPH39" s="704"/>
      <c r="UPI39" s="704"/>
      <c r="UPJ39" s="704"/>
      <c r="UPK39" s="704"/>
      <c r="UPL39" s="704"/>
      <c r="UPM39" s="704"/>
      <c r="UPN39" s="704"/>
      <c r="UPO39" s="704"/>
      <c r="UPP39" s="704"/>
      <c r="UPQ39" s="704"/>
      <c r="UPR39" s="704"/>
      <c r="UPS39" s="704"/>
      <c r="UPT39" s="704"/>
      <c r="UPU39" s="704"/>
      <c r="UPV39" s="704"/>
      <c r="UPW39" s="704"/>
      <c r="UPX39" s="704"/>
      <c r="UPY39" s="704"/>
      <c r="UPZ39" s="704"/>
      <c r="UQA39" s="704"/>
      <c r="UQB39" s="704"/>
      <c r="UQC39" s="704"/>
      <c r="UQD39" s="704"/>
      <c r="UQE39" s="704"/>
      <c r="UQF39" s="704"/>
      <c r="UQG39" s="704"/>
      <c r="UQH39" s="704"/>
      <c r="UQI39" s="704"/>
      <c r="UQJ39" s="704"/>
      <c r="UQK39" s="704"/>
      <c r="UQL39" s="704"/>
      <c r="UQM39" s="704"/>
      <c r="UQN39" s="704"/>
      <c r="UQO39" s="704"/>
      <c r="UQP39" s="704"/>
      <c r="UQQ39" s="704"/>
      <c r="UQR39" s="704"/>
      <c r="UQS39" s="704"/>
      <c r="UQT39" s="704"/>
      <c r="UQU39" s="704"/>
      <c r="UQV39" s="704"/>
      <c r="UQW39" s="704"/>
      <c r="UQX39" s="704"/>
      <c r="UQY39" s="704"/>
      <c r="UQZ39" s="704"/>
      <c r="URA39" s="704"/>
      <c r="URB39" s="704"/>
      <c r="URC39" s="704"/>
      <c r="URD39" s="704"/>
      <c r="URE39" s="704"/>
      <c r="URF39" s="704"/>
      <c r="URG39" s="704"/>
      <c r="URH39" s="704"/>
      <c r="URI39" s="704"/>
      <c r="URJ39" s="704"/>
      <c r="URK39" s="704"/>
      <c r="URL39" s="704"/>
      <c r="URM39" s="704"/>
      <c r="URN39" s="704"/>
      <c r="URO39" s="704"/>
      <c r="URP39" s="704"/>
      <c r="URQ39" s="704"/>
      <c r="URR39" s="704"/>
      <c r="URS39" s="704"/>
      <c r="URT39" s="704"/>
      <c r="URU39" s="704"/>
      <c r="URV39" s="704"/>
      <c r="URW39" s="704"/>
      <c r="URX39" s="704"/>
      <c r="URY39" s="704"/>
      <c r="URZ39" s="704"/>
      <c r="USA39" s="704"/>
      <c r="USB39" s="704"/>
      <c r="USC39" s="704"/>
      <c r="USD39" s="704"/>
      <c r="USE39" s="704"/>
      <c r="USF39" s="704"/>
      <c r="USG39" s="704"/>
      <c r="USH39" s="704"/>
      <c r="USI39" s="704"/>
      <c r="USJ39" s="704"/>
      <c r="USK39" s="704"/>
      <c r="USL39" s="704"/>
      <c r="USM39" s="704"/>
      <c r="USN39" s="704"/>
      <c r="USO39" s="704"/>
      <c r="USP39" s="704"/>
      <c r="USQ39" s="704"/>
      <c r="USR39" s="704"/>
      <c r="USS39" s="704"/>
      <c r="UST39" s="704"/>
      <c r="USU39" s="704"/>
      <c r="USV39" s="704"/>
      <c r="USW39" s="704"/>
      <c r="USX39" s="704"/>
      <c r="USY39" s="704"/>
      <c r="USZ39" s="704"/>
      <c r="UTA39" s="704"/>
      <c r="UTB39" s="704"/>
      <c r="UTC39" s="704"/>
      <c r="UTD39" s="704"/>
      <c r="UTE39" s="704"/>
      <c r="UTF39" s="704"/>
      <c r="UTG39" s="704"/>
      <c r="UTH39" s="704"/>
      <c r="UTI39" s="704"/>
      <c r="UTJ39" s="704"/>
      <c r="UTK39" s="704"/>
      <c r="UTL39" s="704"/>
      <c r="UTM39" s="704"/>
      <c r="UTN39" s="704"/>
      <c r="UTO39" s="704"/>
      <c r="UTP39" s="704"/>
      <c r="UTQ39" s="704"/>
      <c r="UTR39" s="704"/>
      <c r="UTS39" s="704"/>
      <c r="UTT39" s="704"/>
      <c r="UTU39" s="704"/>
      <c r="UTV39" s="704"/>
      <c r="UTW39" s="704"/>
      <c r="UTX39" s="704"/>
      <c r="UTY39" s="704"/>
      <c r="UTZ39" s="704"/>
      <c r="UUA39" s="704"/>
      <c r="UUB39" s="704"/>
      <c r="UUC39" s="704"/>
      <c r="UUD39" s="704"/>
      <c r="UUE39" s="704"/>
      <c r="UUF39" s="704"/>
      <c r="UUG39" s="704"/>
      <c r="UUH39" s="704"/>
      <c r="UUI39" s="704"/>
      <c r="UUJ39" s="704"/>
      <c r="UUK39" s="704"/>
      <c r="UUL39" s="704"/>
      <c r="UUM39" s="704"/>
      <c r="UUN39" s="704"/>
      <c r="UUO39" s="704"/>
      <c r="UUP39" s="704"/>
      <c r="UUQ39" s="704"/>
      <c r="UUR39" s="704"/>
      <c r="UUS39" s="704"/>
      <c r="UUT39" s="704"/>
      <c r="UUU39" s="704"/>
      <c r="UUV39" s="704"/>
      <c r="UUW39" s="704"/>
      <c r="UUX39" s="704"/>
      <c r="UUY39" s="704"/>
      <c r="UUZ39" s="704"/>
      <c r="UVA39" s="704"/>
      <c r="UVB39" s="704"/>
      <c r="UVC39" s="704"/>
      <c r="UVD39" s="704"/>
      <c r="UVE39" s="704"/>
      <c r="UVF39" s="704"/>
      <c r="UVG39" s="704"/>
      <c r="UVH39" s="704"/>
      <c r="UVI39" s="704"/>
      <c r="UVJ39" s="704"/>
      <c r="UVK39" s="704"/>
      <c r="UVL39" s="704"/>
      <c r="UVM39" s="704"/>
      <c r="UVN39" s="704"/>
      <c r="UVO39" s="704"/>
      <c r="UVP39" s="704"/>
      <c r="UVQ39" s="704"/>
      <c r="UVR39" s="704"/>
      <c r="UVS39" s="704"/>
      <c r="UVT39" s="704"/>
      <c r="UVU39" s="704"/>
      <c r="UVV39" s="704"/>
      <c r="UVW39" s="704"/>
      <c r="UVX39" s="704"/>
      <c r="UVY39" s="704"/>
      <c r="UVZ39" s="704"/>
      <c r="UWA39" s="704"/>
      <c r="UWB39" s="704"/>
      <c r="UWC39" s="704"/>
      <c r="UWD39" s="704"/>
      <c r="UWE39" s="704"/>
      <c r="UWF39" s="704"/>
      <c r="UWG39" s="704"/>
      <c r="UWH39" s="704"/>
      <c r="UWI39" s="704"/>
      <c r="UWJ39" s="704"/>
      <c r="UWK39" s="704"/>
      <c r="UWL39" s="704"/>
      <c r="UWM39" s="704"/>
      <c r="UWN39" s="704"/>
      <c r="UWO39" s="704"/>
      <c r="UWP39" s="704"/>
      <c r="UWQ39" s="704"/>
      <c r="UWR39" s="704"/>
      <c r="UWS39" s="704"/>
      <c r="UWT39" s="704"/>
      <c r="UWU39" s="704"/>
      <c r="UWV39" s="704"/>
      <c r="UWW39" s="704"/>
      <c r="UWX39" s="704"/>
      <c r="UWY39" s="704"/>
      <c r="UWZ39" s="704"/>
      <c r="UXA39" s="704"/>
      <c r="UXB39" s="704"/>
      <c r="UXC39" s="704"/>
      <c r="UXD39" s="704"/>
      <c r="UXE39" s="704"/>
      <c r="UXF39" s="704"/>
      <c r="UXG39" s="704"/>
      <c r="UXH39" s="704"/>
      <c r="UXI39" s="704"/>
      <c r="UXJ39" s="704"/>
      <c r="UXK39" s="704"/>
      <c r="UXL39" s="704"/>
      <c r="UXM39" s="704"/>
      <c r="UXN39" s="704"/>
      <c r="UXO39" s="704"/>
      <c r="UXP39" s="704"/>
      <c r="UXQ39" s="704"/>
      <c r="UXR39" s="704"/>
      <c r="UXS39" s="704"/>
      <c r="UXT39" s="704"/>
      <c r="UXU39" s="704"/>
      <c r="UXV39" s="704"/>
      <c r="UXW39" s="704"/>
      <c r="UXX39" s="704"/>
      <c r="UXY39" s="704"/>
      <c r="UXZ39" s="704"/>
      <c r="UYA39" s="704"/>
      <c r="UYB39" s="704"/>
      <c r="UYC39" s="704"/>
      <c r="UYD39" s="704"/>
      <c r="UYE39" s="704"/>
      <c r="UYF39" s="704"/>
      <c r="UYG39" s="704"/>
      <c r="UYH39" s="704"/>
      <c r="UYI39" s="704"/>
      <c r="UYJ39" s="704"/>
      <c r="UYK39" s="704"/>
      <c r="UYL39" s="704"/>
      <c r="UYM39" s="704"/>
      <c r="UYN39" s="704"/>
      <c r="UYO39" s="704"/>
      <c r="UYP39" s="704"/>
      <c r="UYQ39" s="704"/>
      <c r="UYR39" s="704"/>
      <c r="UYS39" s="704"/>
      <c r="UYT39" s="704"/>
      <c r="UYU39" s="704"/>
      <c r="UYV39" s="704"/>
      <c r="UYW39" s="704"/>
      <c r="UYX39" s="704"/>
      <c r="UYY39" s="704"/>
      <c r="UYZ39" s="704"/>
      <c r="UZA39" s="704"/>
      <c r="UZB39" s="704"/>
      <c r="UZC39" s="704"/>
      <c r="UZD39" s="704"/>
      <c r="UZE39" s="704"/>
      <c r="UZF39" s="704"/>
      <c r="UZG39" s="704"/>
      <c r="UZH39" s="704"/>
      <c r="UZI39" s="704"/>
      <c r="UZJ39" s="704"/>
      <c r="UZK39" s="704"/>
      <c r="UZL39" s="704"/>
      <c r="UZM39" s="704"/>
      <c r="UZN39" s="704"/>
      <c r="UZO39" s="704"/>
      <c r="UZP39" s="704"/>
      <c r="UZQ39" s="704"/>
      <c r="UZR39" s="704"/>
      <c r="UZS39" s="704"/>
      <c r="UZT39" s="704"/>
      <c r="UZU39" s="704"/>
      <c r="UZV39" s="704"/>
      <c r="UZW39" s="704"/>
      <c r="UZX39" s="704"/>
      <c r="UZY39" s="704"/>
      <c r="UZZ39" s="704"/>
      <c r="VAA39" s="704"/>
      <c r="VAB39" s="704"/>
      <c r="VAC39" s="704"/>
      <c r="VAD39" s="704"/>
      <c r="VAE39" s="704"/>
      <c r="VAF39" s="704"/>
      <c r="VAG39" s="704"/>
      <c r="VAH39" s="704"/>
      <c r="VAI39" s="704"/>
      <c r="VAJ39" s="704"/>
      <c r="VAK39" s="704"/>
      <c r="VAL39" s="704"/>
      <c r="VAM39" s="704"/>
      <c r="VAN39" s="704"/>
      <c r="VAO39" s="704"/>
      <c r="VAP39" s="704"/>
      <c r="VAQ39" s="704"/>
      <c r="VAR39" s="704"/>
      <c r="VAS39" s="704"/>
      <c r="VAT39" s="704"/>
      <c r="VAU39" s="704"/>
      <c r="VAV39" s="704"/>
      <c r="VAW39" s="704"/>
      <c r="VAX39" s="704"/>
      <c r="VAY39" s="704"/>
      <c r="VAZ39" s="704"/>
      <c r="VBA39" s="704"/>
      <c r="VBB39" s="704"/>
      <c r="VBC39" s="704"/>
      <c r="VBD39" s="704"/>
      <c r="VBE39" s="704"/>
      <c r="VBF39" s="704"/>
      <c r="VBG39" s="704"/>
      <c r="VBH39" s="704"/>
      <c r="VBI39" s="704"/>
      <c r="VBJ39" s="704"/>
      <c r="VBK39" s="704"/>
      <c r="VBL39" s="704"/>
      <c r="VBM39" s="704"/>
      <c r="VBN39" s="704"/>
      <c r="VBO39" s="704"/>
      <c r="VBP39" s="704"/>
      <c r="VBQ39" s="704"/>
      <c r="VBR39" s="704"/>
      <c r="VBS39" s="704"/>
      <c r="VBT39" s="704"/>
      <c r="VBU39" s="704"/>
      <c r="VBV39" s="704"/>
      <c r="VBW39" s="704"/>
      <c r="VBX39" s="704"/>
      <c r="VBY39" s="704"/>
      <c r="VBZ39" s="704"/>
      <c r="VCA39" s="704"/>
      <c r="VCB39" s="704"/>
      <c r="VCC39" s="704"/>
      <c r="VCD39" s="704"/>
      <c r="VCE39" s="704"/>
      <c r="VCF39" s="704"/>
      <c r="VCG39" s="704"/>
      <c r="VCH39" s="704"/>
      <c r="VCI39" s="704"/>
      <c r="VCJ39" s="704"/>
      <c r="VCK39" s="704"/>
      <c r="VCL39" s="704"/>
      <c r="VCM39" s="704"/>
      <c r="VCN39" s="704"/>
      <c r="VCO39" s="704"/>
      <c r="VCP39" s="704"/>
      <c r="VCQ39" s="704"/>
      <c r="VCR39" s="704"/>
      <c r="VCS39" s="704"/>
      <c r="VCT39" s="704"/>
      <c r="VCU39" s="704"/>
      <c r="VCV39" s="704"/>
      <c r="VCW39" s="704"/>
      <c r="VCX39" s="704"/>
      <c r="VCY39" s="704"/>
      <c r="VCZ39" s="704"/>
      <c r="VDA39" s="704"/>
      <c r="VDB39" s="704"/>
      <c r="VDC39" s="704"/>
      <c r="VDD39" s="704"/>
      <c r="VDE39" s="704"/>
      <c r="VDF39" s="704"/>
      <c r="VDG39" s="704"/>
      <c r="VDH39" s="704"/>
      <c r="VDI39" s="704"/>
      <c r="VDJ39" s="704"/>
      <c r="VDK39" s="704"/>
      <c r="VDL39" s="704"/>
      <c r="VDM39" s="704"/>
      <c r="VDN39" s="704"/>
      <c r="VDO39" s="704"/>
      <c r="VDP39" s="704"/>
      <c r="VDQ39" s="704"/>
      <c r="VDR39" s="704"/>
      <c r="VDS39" s="704"/>
      <c r="VDT39" s="704"/>
      <c r="VDU39" s="704"/>
      <c r="VDV39" s="704"/>
      <c r="VDW39" s="704"/>
      <c r="VDX39" s="704"/>
      <c r="VDY39" s="704"/>
      <c r="VDZ39" s="704"/>
      <c r="VEA39" s="704"/>
      <c r="VEB39" s="704"/>
      <c r="VEC39" s="704"/>
      <c r="VED39" s="704"/>
      <c r="VEE39" s="704"/>
      <c r="VEF39" s="704"/>
      <c r="VEG39" s="704"/>
      <c r="VEH39" s="704"/>
      <c r="VEI39" s="704"/>
      <c r="VEJ39" s="704"/>
      <c r="VEK39" s="704"/>
      <c r="VEL39" s="704"/>
      <c r="VEM39" s="704"/>
      <c r="VEN39" s="704"/>
      <c r="VEO39" s="704"/>
      <c r="VEP39" s="704"/>
      <c r="VEQ39" s="704"/>
      <c r="VER39" s="704"/>
      <c r="VES39" s="704"/>
      <c r="VET39" s="704"/>
      <c r="VEU39" s="704"/>
      <c r="VEV39" s="704"/>
      <c r="VEW39" s="704"/>
      <c r="VEX39" s="704"/>
      <c r="VEY39" s="704"/>
      <c r="VEZ39" s="704"/>
      <c r="VFA39" s="704"/>
      <c r="VFB39" s="704"/>
      <c r="VFC39" s="704"/>
      <c r="VFD39" s="704"/>
      <c r="VFE39" s="704"/>
      <c r="VFF39" s="704"/>
      <c r="VFG39" s="704"/>
      <c r="VFH39" s="704"/>
      <c r="VFI39" s="704"/>
      <c r="VFJ39" s="704"/>
      <c r="VFK39" s="704"/>
      <c r="VFL39" s="704"/>
      <c r="VFM39" s="704"/>
      <c r="VFN39" s="704"/>
      <c r="VFO39" s="704"/>
      <c r="VFP39" s="704"/>
      <c r="VFQ39" s="704"/>
      <c r="VFR39" s="704"/>
      <c r="VFS39" s="704"/>
      <c r="VFT39" s="704"/>
      <c r="VFU39" s="704"/>
      <c r="VFV39" s="704"/>
      <c r="VFW39" s="704"/>
      <c r="VFX39" s="704"/>
      <c r="VFY39" s="704"/>
      <c r="VFZ39" s="704"/>
      <c r="VGA39" s="704"/>
      <c r="VGB39" s="704"/>
      <c r="VGC39" s="704"/>
      <c r="VGD39" s="704"/>
      <c r="VGE39" s="704"/>
      <c r="VGF39" s="704"/>
      <c r="VGG39" s="704"/>
      <c r="VGH39" s="704"/>
      <c r="VGI39" s="704"/>
      <c r="VGJ39" s="704"/>
      <c r="VGK39" s="704"/>
      <c r="VGL39" s="704"/>
      <c r="VGM39" s="704"/>
      <c r="VGN39" s="704"/>
      <c r="VGO39" s="704"/>
      <c r="VGP39" s="704"/>
      <c r="VGQ39" s="704"/>
      <c r="VGR39" s="704"/>
      <c r="VGS39" s="704"/>
      <c r="VGT39" s="704"/>
      <c r="VGU39" s="704"/>
      <c r="VGV39" s="704"/>
      <c r="VGW39" s="704"/>
      <c r="VGX39" s="704"/>
      <c r="VGY39" s="704"/>
      <c r="VGZ39" s="704"/>
      <c r="VHA39" s="704"/>
      <c r="VHB39" s="704"/>
      <c r="VHC39" s="704"/>
      <c r="VHD39" s="704"/>
      <c r="VHE39" s="704"/>
      <c r="VHF39" s="704"/>
      <c r="VHG39" s="704"/>
      <c r="VHH39" s="704"/>
      <c r="VHI39" s="704"/>
      <c r="VHJ39" s="704"/>
      <c r="VHK39" s="704"/>
      <c r="VHL39" s="704"/>
      <c r="VHM39" s="704"/>
      <c r="VHN39" s="704"/>
      <c r="VHO39" s="704"/>
      <c r="VHP39" s="704"/>
      <c r="VHQ39" s="704"/>
      <c r="VHR39" s="704"/>
      <c r="VHS39" s="704"/>
      <c r="VHT39" s="704"/>
      <c r="VHU39" s="704"/>
      <c r="VHV39" s="704"/>
      <c r="VHW39" s="704"/>
      <c r="VHX39" s="704"/>
      <c r="VHY39" s="704"/>
      <c r="VHZ39" s="704"/>
      <c r="VIA39" s="704"/>
      <c r="VIB39" s="704"/>
      <c r="VIC39" s="704"/>
      <c r="VID39" s="704"/>
      <c r="VIE39" s="704"/>
      <c r="VIF39" s="704"/>
      <c r="VIG39" s="704"/>
      <c r="VIH39" s="704"/>
      <c r="VII39" s="704"/>
      <c r="VIJ39" s="704"/>
      <c r="VIK39" s="704"/>
      <c r="VIL39" s="704"/>
      <c r="VIM39" s="704"/>
      <c r="VIN39" s="704"/>
      <c r="VIO39" s="704"/>
      <c r="VIP39" s="704"/>
      <c r="VIQ39" s="704"/>
      <c r="VIR39" s="704"/>
      <c r="VIS39" s="704"/>
      <c r="VIT39" s="704"/>
      <c r="VIU39" s="704"/>
      <c r="VIV39" s="704"/>
      <c r="VIW39" s="704"/>
      <c r="VIX39" s="704"/>
      <c r="VIY39" s="704"/>
      <c r="VIZ39" s="704"/>
      <c r="VJA39" s="704"/>
      <c r="VJB39" s="704"/>
      <c r="VJC39" s="704"/>
      <c r="VJD39" s="704"/>
      <c r="VJE39" s="704"/>
      <c r="VJF39" s="704"/>
      <c r="VJG39" s="704"/>
      <c r="VJH39" s="704"/>
      <c r="VJI39" s="704"/>
      <c r="VJJ39" s="704"/>
      <c r="VJK39" s="704"/>
      <c r="VJL39" s="704"/>
      <c r="VJM39" s="704"/>
      <c r="VJN39" s="704"/>
      <c r="VJO39" s="704"/>
      <c r="VJP39" s="704"/>
      <c r="VJQ39" s="704"/>
      <c r="VJR39" s="704"/>
      <c r="VJS39" s="704"/>
      <c r="VJT39" s="704"/>
      <c r="VJU39" s="704"/>
      <c r="VJV39" s="704"/>
      <c r="VJW39" s="704"/>
      <c r="VJX39" s="704"/>
      <c r="VJY39" s="704"/>
      <c r="VJZ39" s="704"/>
      <c r="VKA39" s="704"/>
      <c r="VKB39" s="704"/>
      <c r="VKC39" s="704"/>
      <c r="VKD39" s="704"/>
      <c r="VKE39" s="704"/>
      <c r="VKF39" s="704"/>
      <c r="VKG39" s="704"/>
      <c r="VKH39" s="704"/>
      <c r="VKI39" s="704"/>
      <c r="VKJ39" s="704"/>
      <c r="VKK39" s="704"/>
      <c r="VKL39" s="704"/>
      <c r="VKM39" s="704"/>
      <c r="VKN39" s="704"/>
      <c r="VKO39" s="704"/>
      <c r="VKP39" s="704"/>
      <c r="VKQ39" s="704"/>
      <c r="VKR39" s="704"/>
      <c r="VKS39" s="704"/>
      <c r="VKT39" s="704"/>
      <c r="VKU39" s="704"/>
      <c r="VKV39" s="704"/>
      <c r="VKW39" s="704"/>
      <c r="VKX39" s="704"/>
      <c r="VKY39" s="704"/>
      <c r="VKZ39" s="704"/>
      <c r="VLA39" s="704"/>
      <c r="VLB39" s="704"/>
      <c r="VLC39" s="704"/>
      <c r="VLD39" s="704"/>
      <c r="VLE39" s="704"/>
      <c r="VLF39" s="704"/>
      <c r="VLG39" s="704"/>
      <c r="VLH39" s="704"/>
      <c r="VLI39" s="704"/>
      <c r="VLJ39" s="704"/>
      <c r="VLK39" s="704"/>
      <c r="VLL39" s="704"/>
      <c r="VLM39" s="704"/>
      <c r="VLN39" s="704"/>
      <c r="VLO39" s="704"/>
      <c r="VLP39" s="704"/>
      <c r="VLQ39" s="704"/>
      <c r="VLR39" s="704"/>
      <c r="VLS39" s="704"/>
      <c r="VLT39" s="704"/>
      <c r="VLU39" s="704"/>
      <c r="VLV39" s="704"/>
      <c r="VLW39" s="704"/>
      <c r="VLX39" s="704"/>
      <c r="VLY39" s="704"/>
      <c r="VLZ39" s="704"/>
      <c r="VMA39" s="704"/>
      <c r="VMB39" s="704"/>
      <c r="VMC39" s="704"/>
      <c r="VMD39" s="704"/>
      <c r="VME39" s="704"/>
      <c r="VMF39" s="704"/>
      <c r="VMG39" s="704"/>
      <c r="VMH39" s="704"/>
      <c r="VMI39" s="704"/>
      <c r="VMJ39" s="704"/>
      <c r="VMK39" s="704"/>
      <c r="VML39" s="704"/>
      <c r="VMM39" s="704"/>
      <c r="VMN39" s="704"/>
      <c r="VMO39" s="704"/>
      <c r="VMP39" s="704"/>
      <c r="VMQ39" s="704"/>
      <c r="VMR39" s="704"/>
      <c r="VMS39" s="704"/>
      <c r="VMT39" s="704"/>
      <c r="VMU39" s="704"/>
      <c r="VMV39" s="704"/>
      <c r="VMW39" s="704"/>
      <c r="VMX39" s="704"/>
      <c r="VMY39" s="704"/>
      <c r="VMZ39" s="704"/>
      <c r="VNA39" s="704"/>
      <c r="VNB39" s="704"/>
      <c r="VNC39" s="704"/>
      <c r="VND39" s="704"/>
      <c r="VNE39" s="704"/>
      <c r="VNF39" s="704"/>
      <c r="VNG39" s="704"/>
      <c r="VNH39" s="704"/>
      <c r="VNI39" s="704"/>
      <c r="VNJ39" s="704"/>
      <c r="VNK39" s="704"/>
      <c r="VNL39" s="704"/>
      <c r="VNM39" s="704"/>
      <c r="VNN39" s="704"/>
      <c r="VNO39" s="704"/>
      <c r="VNP39" s="704"/>
      <c r="VNQ39" s="704"/>
      <c r="VNR39" s="704"/>
      <c r="VNS39" s="704"/>
      <c r="VNT39" s="704"/>
      <c r="VNU39" s="704"/>
      <c r="VNV39" s="704"/>
      <c r="VNW39" s="704"/>
      <c r="VNX39" s="704"/>
      <c r="VNY39" s="704"/>
      <c r="VNZ39" s="704"/>
      <c r="VOA39" s="704"/>
      <c r="VOB39" s="704"/>
      <c r="VOC39" s="704"/>
      <c r="VOD39" s="704"/>
      <c r="VOE39" s="704"/>
      <c r="VOF39" s="704"/>
      <c r="VOG39" s="704"/>
      <c r="VOH39" s="704"/>
      <c r="VOI39" s="704"/>
      <c r="VOJ39" s="704"/>
      <c r="VOK39" s="704"/>
      <c r="VOL39" s="704"/>
      <c r="VOM39" s="704"/>
      <c r="VON39" s="704"/>
      <c r="VOO39" s="704"/>
      <c r="VOP39" s="704"/>
      <c r="VOQ39" s="704"/>
      <c r="VOR39" s="704"/>
      <c r="VOS39" s="704"/>
      <c r="VOT39" s="704"/>
      <c r="VOU39" s="704"/>
      <c r="VOV39" s="704"/>
      <c r="VOW39" s="704"/>
      <c r="VOX39" s="704"/>
      <c r="VOY39" s="704"/>
      <c r="VOZ39" s="704"/>
      <c r="VPA39" s="704"/>
      <c r="VPB39" s="704"/>
      <c r="VPC39" s="704"/>
      <c r="VPD39" s="704"/>
      <c r="VPE39" s="704"/>
      <c r="VPF39" s="704"/>
      <c r="VPG39" s="704"/>
      <c r="VPH39" s="704"/>
      <c r="VPI39" s="704"/>
      <c r="VPJ39" s="704"/>
      <c r="VPK39" s="704"/>
      <c r="VPL39" s="704"/>
      <c r="VPM39" s="704"/>
      <c r="VPN39" s="704"/>
      <c r="VPO39" s="704"/>
      <c r="VPP39" s="704"/>
      <c r="VPQ39" s="704"/>
      <c r="VPR39" s="704"/>
      <c r="VPS39" s="704"/>
      <c r="VPT39" s="704"/>
      <c r="VPU39" s="704"/>
      <c r="VPV39" s="704"/>
      <c r="VPW39" s="704"/>
      <c r="VPX39" s="704"/>
      <c r="VPY39" s="704"/>
      <c r="VPZ39" s="704"/>
      <c r="VQA39" s="704"/>
      <c r="VQB39" s="704"/>
      <c r="VQC39" s="704"/>
      <c r="VQD39" s="704"/>
      <c r="VQE39" s="704"/>
      <c r="VQF39" s="704"/>
      <c r="VQG39" s="704"/>
      <c r="VQH39" s="704"/>
      <c r="VQI39" s="704"/>
      <c r="VQJ39" s="704"/>
      <c r="VQK39" s="704"/>
      <c r="VQL39" s="704"/>
      <c r="VQM39" s="704"/>
      <c r="VQN39" s="704"/>
      <c r="VQO39" s="704"/>
      <c r="VQP39" s="704"/>
      <c r="VQQ39" s="704"/>
      <c r="VQR39" s="704"/>
      <c r="VQS39" s="704"/>
      <c r="VQT39" s="704"/>
      <c r="VQU39" s="704"/>
      <c r="VQV39" s="704"/>
      <c r="VQW39" s="704"/>
      <c r="VQX39" s="704"/>
      <c r="VQY39" s="704"/>
      <c r="VQZ39" s="704"/>
      <c r="VRA39" s="704"/>
      <c r="VRB39" s="704"/>
      <c r="VRC39" s="704"/>
      <c r="VRD39" s="704"/>
      <c r="VRE39" s="704"/>
      <c r="VRF39" s="704"/>
      <c r="VRG39" s="704"/>
      <c r="VRH39" s="704"/>
      <c r="VRI39" s="704"/>
      <c r="VRJ39" s="704"/>
      <c r="VRK39" s="704"/>
      <c r="VRL39" s="704"/>
      <c r="VRM39" s="704"/>
      <c r="VRN39" s="704"/>
      <c r="VRO39" s="704"/>
      <c r="VRP39" s="704"/>
      <c r="VRQ39" s="704"/>
      <c r="VRR39" s="704"/>
      <c r="VRS39" s="704"/>
      <c r="VRT39" s="704"/>
      <c r="VRU39" s="704"/>
      <c r="VRV39" s="704"/>
      <c r="VRW39" s="704"/>
      <c r="VRX39" s="704"/>
      <c r="VRY39" s="704"/>
      <c r="VRZ39" s="704"/>
      <c r="VSA39" s="704"/>
      <c r="VSB39" s="704"/>
      <c r="VSC39" s="704"/>
      <c r="VSD39" s="704"/>
      <c r="VSE39" s="704"/>
      <c r="VSF39" s="704"/>
      <c r="VSG39" s="704"/>
      <c r="VSH39" s="704"/>
      <c r="VSI39" s="704"/>
      <c r="VSJ39" s="704"/>
      <c r="VSK39" s="704"/>
      <c r="VSL39" s="704"/>
      <c r="VSM39" s="704"/>
      <c r="VSN39" s="704"/>
      <c r="VSO39" s="704"/>
      <c r="VSP39" s="704"/>
      <c r="VSQ39" s="704"/>
      <c r="VSR39" s="704"/>
      <c r="VSS39" s="704"/>
      <c r="VST39" s="704"/>
      <c r="VSU39" s="704"/>
      <c r="VSV39" s="704"/>
      <c r="VSW39" s="704"/>
      <c r="VSX39" s="704"/>
      <c r="VSY39" s="704"/>
      <c r="VSZ39" s="704"/>
      <c r="VTA39" s="704"/>
      <c r="VTB39" s="704"/>
      <c r="VTC39" s="704"/>
      <c r="VTD39" s="704"/>
      <c r="VTE39" s="704"/>
      <c r="VTF39" s="704"/>
      <c r="VTG39" s="704"/>
      <c r="VTH39" s="704"/>
      <c r="VTI39" s="704"/>
      <c r="VTJ39" s="704"/>
      <c r="VTK39" s="704"/>
      <c r="VTL39" s="704"/>
      <c r="VTM39" s="704"/>
      <c r="VTN39" s="704"/>
      <c r="VTO39" s="704"/>
      <c r="VTP39" s="704"/>
      <c r="VTQ39" s="704"/>
      <c r="VTR39" s="704"/>
      <c r="VTS39" s="704"/>
      <c r="VTT39" s="704"/>
      <c r="VTU39" s="704"/>
      <c r="VTV39" s="704"/>
      <c r="VTW39" s="704"/>
      <c r="VTX39" s="704"/>
      <c r="VTY39" s="704"/>
      <c r="VTZ39" s="704"/>
      <c r="VUA39" s="704"/>
      <c r="VUB39" s="704"/>
      <c r="VUC39" s="704"/>
      <c r="VUD39" s="704"/>
      <c r="VUE39" s="704"/>
      <c r="VUF39" s="704"/>
      <c r="VUG39" s="704"/>
      <c r="VUH39" s="704"/>
      <c r="VUI39" s="704"/>
      <c r="VUJ39" s="704"/>
      <c r="VUK39" s="704"/>
      <c r="VUL39" s="704"/>
      <c r="VUM39" s="704"/>
      <c r="VUN39" s="704"/>
      <c r="VUO39" s="704"/>
      <c r="VUP39" s="704"/>
      <c r="VUQ39" s="704"/>
      <c r="VUR39" s="704"/>
      <c r="VUS39" s="704"/>
      <c r="VUT39" s="704"/>
      <c r="VUU39" s="704"/>
      <c r="VUV39" s="704"/>
      <c r="VUW39" s="704"/>
      <c r="VUX39" s="704"/>
      <c r="VUY39" s="704"/>
      <c r="VUZ39" s="704"/>
      <c r="VVA39" s="704"/>
      <c r="VVB39" s="704"/>
      <c r="VVC39" s="704"/>
      <c r="VVD39" s="704"/>
      <c r="VVE39" s="704"/>
      <c r="VVF39" s="704"/>
      <c r="VVG39" s="704"/>
      <c r="VVH39" s="704"/>
      <c r="VVI39" s="704"/>
      <c r="VVJ39" s="704"/>
      <c r="VVK39" s="704"/>
      <c r="VVL39" s="704"/>
      <c r="VVM39" s="704"/>
      <c r="VVN39" s="704"/>
      <c r="VVO39" s="704"/>
      <c r="VVP39" s="704"/>
      <c r="VVQ39" s="704"/>
      <c r="VVR39" s="704"/>
      <c r="VVS39" s="704"/>
      <c r="VVT39" s="704"/>
      <c r="VVU39" s="704"/>
      <c r="VVV39" s="704"/>
      <c r="VVW39" s="704"/>
      <c r="VVX39" s="704"/>
      <c r="VVY39" s="704"/>
      <c r="VVZ39" s="704"/>
      <c r="VWA39" s="704"/>
      <c r="VWB39" s="704"/>
      <c r="VWC39" s="704"/>
      <c r="VWD39" s="704"/>
      <c r="VWE39" s="704"/>
      <c r="VWF39" s="704"/>
      <c r="VWG39" s="704"/>
      <c r="VWH39" s="704"/>
      <c r="VWI39" s="704"/>
      <c r="VWJ39" s="704"/>
      <c r="VWK39" s="704"/>
      <c r="VWL39" s="704"/>
      <c r="VWM39" s="704"/>
      <c r="VWN39" s="704"/>
      <c r="VWO39" s="704"/>
      <c r="VWP39" s="704"/>
      <c r="VWQ39" s="704"/>
      <c r="VWR39" s="704"/>
      <c r="VWS39" s="704"/>
      <c r="VWT39" s="704"/>
      <c r="VWU39" s="704"/>
      <c r="VWV39" s="704"/>
      <c r="VWW39" s="704"/>
      <c r="VWX39" s="704"/>
      <c r="VWY39" s="704"/>
      <c r="VWZ39" s="704"/>
      <c r="VXA39" s="704"/>
      <c r="VXB39" s="704"/>
      <c r="VXC39" s="704"/>
      <c r="VXD39" s="704"/>
      <c r="VXE39" s="704"/>
      <c r="VXF39" s="704"/>
      <c r="VXG39" s="704"/>
      <c r="VXH39" s="704"/>
      <c r="VXI39" s="704"/>
      <c r="VXJ39" s="704"/>
      <c r="VXK39" s="704"/>
      <c r="VXL39" s="704"/>
      <c r="VXM39" s="704"/>
      <c r="VXN39" s="704"/>
      <c r="VXO39" s="704"/>
      <c r="VXP39" s="704"/>
      <c r="VXQ39" s="704"/>
      <c r="VXR39" s="704"/>
      <c r="VXS39" s="704"/>
      <c r="VXT39" s="704"/>
      <c r="VXU39" s="704"/>
      <c r="VXV39" s="704"/>
      <c r="VXW39" s="704"/>
      <c r="VXX39" s="704"/>
      <c r="VXY39" s="704"/>
      <c r="VXZ39" s="704"/>
      <c r="VYA39" s="704"/>
      <c r="VYB39" s="704"/>
      <c r="VYC39" s="704"/>
      <c r="VYD39" s="704"/>
      <c r="VYE39" s="704"/>
      <c r="VYF39" s="704"/>
      <c r="VYG39" s="704"/>
      <c r="VYH39" s="704"/>
      <c r="VYI39" s="704"/>
      <c r="VYJ39" s="704"/>
      <c r="VYK39" s="704"/>
      <c r="VYL39" s="704"/>
      <c r="VYM39" s="704"/>
      <c r="VYN39" s="704"/>
      <c r="VYO39" s="704"/>
      <c r="VYP39" s="704"/>
      <c r="VYQ39" s="704"/>
      <c r="VYR39" s="704"/>
      <c r="VYS39" s="704"/>
      <c r="VYT39" s="704"/>
      <c r="VYU39" s="704"/>
      <c r="VYV39" s="704"/>
      <c r="VYW39" s="704"/>
      <c r="VYX39" s="704"/>
      <c r="VYY39" s="704"/>
      <c r="VYZ39" s="704"/>
      <c r="VZA39" s="704"/>
      <c r="VZB39" s="704"/>
      <c r="VZC39" s="704"/>
      <c r="VZD39" s="704"/>
      <c r="VZE39" s="704"/>
      <c r="VZF39" s="704"/>
      <c r="VZG39" s="704"/>
      <c r="VZH39" s="704"/>
      <c r="VZI39" s="704"/>
      <c r="VZJ39" s="704"/>
      <c r="VZK39" s="704"/>
      <c r="VZL39" s="704"/>
      <c r="VZM39" s="704"/>
      <c r="VZN39" s="704"/>
      <c r="VZO39" s="704"/>
      <c r="VZP39" s="704"/>
      <c r="VZQ39" s="704"/>
      <c r="VZR39" s="704"/>
      <c r="VZS39" s="704"/>
      <c r="VZT39" s="704"/>
      <c r="VZU39" s="704"/>
      <c r="VZV39" s="704"/>
      <c r="VZW39" s="704"/>
      <c r="VZX39" s="704"/>
      <c r="VZY39" s="704"/>
      <c r="VZZ39" s="704"/>
      <c r="WAA39" s="704"/>
      <c r="WAB39" s="704"/>
      <c r="WAC39" s="704"/>
      <c r="WAD39" s="704"/>
      <c r="WAE39" s="704"/>
      <c r="WAF39" s="704"/>
      <c r="WAG39" s="704"/>
      <c r="WAH39" s="704"/>
      <c r="WAI39" s="704"/>
      <c r="WAJ39" s="704"/>
      <c r="WAK39" s="704"/>
      <c r="WAL39" s="704"/>
      <c r="WAM39" s="704"/>
      <c r="WAN39" s="704"/>
      <c r="WAO39" s="704"/>
      <c r="WAP39" s="704"/>
      <c r="WAQ39" s="704"/>
      <c r="WAR39" s="704"/>
      <c r="WAS39" s="704"/>
      <c r="WAT39" s="704"/>
      <c r="WAU39" s="704"/>
      <c r="WAV39" s="704"/>
      <c r="WAW39" s="704"/>
      <c r="WAX39" s="704"/>
      <c r="WAY39" s="704"/>
      <c r="WAZ39" s="704"/>
      <c r="WBA39" s="704"/>
      <c r="WBB39" s="704"/>
      <c r="WBC39" s="704"/>
      <c r="WBD39" s="704"/>
      <c r="WBE39" s="704"/>
      <c r="WBF39" s="704"/>
      <c r="WBG39" s="704"/>
      <c r="WBH39" s="704"/>
      <c r="WBI39" s="704"/>
      <c r="WBJ39" s="704"/>
      <c r="WBK39" s="704"/>
      <c r="WBL39" s="704"/>
      <c r="WBM39" s="704"/>
      <c r="WBN39" s="704"/>
      <c r="WBO39" s="704"/>
      <c r="WBP39" s="704"/>
      <c r="WBQ39" s="704"/>
      <c r="WBR39" s="704"/>
      <c r="WBS39" s="704"/>
      <c r="WBT39" s="704"/>
      <c r="WBU39" s="704"/>
      <c r="WBV39" s="704"/>
      <c r="WBW39" s="704"/>
      <c r="WBX39" s="704"/>
      <c r="WBY39" s="704"/>
      <c r="WBZ39" s="704"/>
      <c r="WCA39" s="704"/>
      <c r="WCB39" s="704"/>
      <c r="WCC39" s="704"/>
      <c r="WCD39" s="704"/>
      <c r="WCE39" s="704"/>
      <c r="WCF39" s="704"/>
      <c r="WCG39" s="704"/>
      <c r="WCH39" s="704"/>
      <c r="WCI39" s="704"/>
      <c r="WCJ39" s="704"/>
      <c r="WCK39" s="704"/>
      <c r="WCL39" s="704"/>
      <c r="WCM39" s="704"/>
      <c r="WCN39" s="704"/>
      <c r="WCO39" s="704"/>
      <c r="WCP39" s="704"/>
      <c r="WCQ39" s="704"/>
      <c r="WCR39" s="704"/>
      <c r="WCS39" s="704"/>
      <c r="WCT39" s="704"/>
      <c r="WCU39" s="704"/>
      <c r="WCV39" s="704"/>
      <c r="WCW39" s="704"/>
      <c r="WCX39" s="704"/>
      <c r="WCY39" s="704"/>
      <c r="WCZ39" s="704"/>
      <c r="WDA39" s="704"/>
      <c r="WDB39" s="704"/>
      <c r="WDC39" s="704"/>
      <c r="WDD39" s="704"/>
      <c r="WDE39" s="704"/>
      <c r="WDF39" s="704"/>
      <c r="WDG39" s="704"/>
      <c r="WDH39" s="704"/>
      <c r="WDI39" s="704"/>
      <c r="WDJ39" s="704"/>
      <c r="WDK39" s="704"/>
      <c r="WDL39" s="704"/>
      <c r="WDM39" s="704"/>
      <c r="WDN39" s="704"/>
      <c r="WDO39" s="704"/>
      <c r="WDP39" s="704"/>
      <c r="WDQ39" s="704"/>
      <c r="WDR39" s="704"/>
      <c r="WDS39" s="704"/>
      <c r="WDT39" s="704"/>
      <c r="WDU39" s="704"/>
      <c r="WDV39" s="704"/>
      <c r="WDW39" s="704"/>
      <c r="WDX39" s="704"/>
      <c r="WDY39" s="704"/>
      <c r="WDZ39" s="704"/>
      <c r="WEA39" s="704"/>
      <c r="WEB39" s="704"/>
      <c r="WEC39" s="704"/>
      <c r="WED39" s="704"/>
      <c r="WEE39" s="704"/>
      <c r="WEF39" s="704"/>
      <c r="WEG39" s="704"/>
      <c r="WEH39" s="704"/>
      <c r="WEI39" s="704"/>
      <c r="WEJ39" s="704"/>
      <c r="WEK39" s="704"/>
      <c r="WEL39" s="704"/>
      <c r="WEM39" s="704"/>
      <c r="WEN39" s="704"/>
      <c r="WEO39" s="704"/>
      <c r="WEP39" s="704"/>
      <c r="WEQ39" s="704"/>
      <c r="WER39" s="704"/>
      <c r="WES39" s="704"/>
      <c r="WET39" s="704"/>
      <c r="WEU39" s="704"/>
      <c r="WEV39" s="704"/>
      <c r="WEW39" s="704"/>
      <c r="WEX39" s="704"/>
      <c r="WEY39" s="704"/>
      <c r="WEZ39" s="704"/>
      <c r="WFA39" s="704"/>
      <c r="WFB39" s="704"/>
      <c r="WFC39" s="704"/>
      <c r="WFD39" s="704"/>
      <c r="WFE39" s="704"/>
      <c r="WFF39" s="704"/>
      <c r="WFG39" s="704"/>
      <c r="WFH39" s="704"/>
      <c r="WFI39" s="704"/>
      <c r="WFJ39" s="704"/>
      <c r="WFK39" s="704"/>
      <c r="WFL39" s="704"/>
      <c r="WFM39" s="704"/>
      <c r="WFN39" s="704"/>
      <c r="WFO39" s="704"/>
      <c r="WFP39" s="704"/>
      <c r="WFQ39" s="704"/>
      <c r="WFR39" s="704"/>
      <c r="WFS39" s="704"/>
      <c r="WFT39" s="704"/>
      <c r="WFU39" s="704"/>
      <c r="WFV39" s="704"/>
      <c r="WFW39" s="704"/>
      <c r="WFX39" s="704"/>
      <c r="WFY39" s="704"/>
      <c r="WFZ39" s="704"/>
      <c r="WGA39" s="704"/>
      <c r="WGB39" s="704"/>
      <c r="WGC39" s="704"/>
      <c r="WGD39" s="704"/>
      <c r="WGE39" s="704"/>
      <c r="WGF39" s="704"/>
      <c r="WGG39" s="704"/>
      <c r="WGH39" s="704"/>
      <c r="WGI39" s="704"/>
      <c r="WGJ39" s="704"/>
      <c r="WGK39" s="704"/>
      <c r="WGL39" s="704"/>
      <c r="WGM39" s="704"/>
      <c r="WGN39" s="704"/>
      <c r="WGO39" s="704"/>
      <c r="WGP39" s="704"/>
      <c r="WGQ39" s="704"/>
      <c r="WGR39" s="704"/>
      <c r="WGS39" s="704"/>
      <c r="WGT39" s="704"/>
      <c r="WGU39" s="704"/>
      <c r="WGV39" s="704"/>
      <c r="WGW39" s="704"/>
      <c r="WGX39" s="704"/>
      <c r="WGY39" s="704"/>
      <c r="WGZ39" s="704"/>
      <c r="WHA39" s="704"/>
      <c r="WHB39" s="704"/>
      <c r="WHC39" s="704"/>
      <c r="WHD39" s="704"/>
      <c r="WHE39" s="704"/>
      <c r="WHF39" s="704"/>
      <c r="WHG39" s="704"/>
      <c r="WHH39" s="704"/>
      <c r="WHI39" s="704"/>
      <c r="WHJ39" s="704"/>
      <c r="WHK39" s="704"/>
      <c r="WHL39" s="704"/>
      <c r="WHM39" s="704"/>
      <c r="WHN39" s="704"/>
      <c r="WHO39" s="704"/>
      <c r="WHP39" s="704"/>
      <c r="WHQ39" s="704"/>
      <c r="WHR39" s="704"/>
      <c r="WHS39" s="704"/>
      <c r="WHT39" s="704"/>
      <c r="WHU39" s="704"/>
      <c r="WHV39" s="704"/>
      <c r="WHW39" s="704"/>
      <c r="WHX39" s="704"/>
      <c r="WHY39" s="704"/>
      <c r="WHZ39" s="704"/>
      <c r="WIA39" s="704"/>
      <c r="WIB39" s="704"/>
      <c r="WIC39" s="704"/>
      <c r="WID39" s="704"/>
      <c r="WIE39" s="704"/>
      <c r="WIF39" s="704"/>
      <c r="WIG39" s="704"/>
      <c r="WIH39" s="704"/>
      <c r="WII39" s="704"/>
      <c r="WIJ39" s="704"/>
      <c r="WIK39" s="704"/>
      <c r="WIL39" s="704"/>
      <c r="WIM39" s="704"/>
      <c r="WIN39" s="704"/>
      <c r="WIO39" s="704"/>
      <c r="WIP39" s="704"/>
      <c r="WIQ39" s="704"/>
      <c r="WIR39" s="704"/>
      <c r="WIS39" s="704"/>
      <c r="WIT39" s="704"/>
      <c r="WIU39" s="704"/>
      <c r="WIV39" s="704"/>
      <c r="WIW39" s="704"/>
      <c r="WIX39" s="704"/>
      <c r="WIY39" s="704"/>
      <c r="WIZ39" s="704"/>
      <c r="WJA39" s="704"/>
      <c r="WJB39" s="704"/>
      <c r="WJC39" s="704"/>
      <c r="WJD39" s="704"/>
      <c r="WJE39" s="704"/>
      <c r="WJF39" s="704"/>
      <c r="WJG39" s="704"/>
      <c r="WJH39" s="704"/>
      <c r="WJI39" s="704"/>
      <c r="WJJ39" s="704"/>
      <c r="WJK39" s="704"/>
      <c r="WJL39" s="704"/>
      <c r="WJM39" s="704"/>
      <c r="WJN39" s="704"/>
      <c r="WJO39" s="704"/>
      <c r="WJP39" s="704"/>
      <c r="WJQ39" s="704"/>
      <c r="WJR39" s="704"/>
      <c r="WJS39" s="704"/>
      <c r="WJT39" s="704"/>
      <c r="WJU39" s="704"/>
      <c r="WJV39" s="704"/>
      <c r="WJW39" s="704"/>
      <c r="WJX39" s="704"/>
      <c r="WJY39" s="704"/>
      <c r="WJZ39" s="704"/>
      <c r="WKA39" s="704"/>
      <c r="WKB39" s="704"/>
      <c r="WKC39" s="704"/>
      <c r="WKD39" s="704"/>
      <c r="WKE39" s="704"/>
      <c r="WKF39" s="704"/>
      <c r="WKG39" s="704"/>
      <c r="WKH39" s="704"/>
      <c r="WKI39" s="704"/>
      <c r="WKJ39" s="704"/>
      <c r="WKK39" s="704"/>
      <c r="WKL39" s="704"/>
      <c r="WKM39" s="704"/>
      <c r="WKN39" s="704"/>
      <c r="WKO39" s="704"/>
      <c r="WKP39" s="704"/>
      <c r="WKQ39" s="704"/>
      <c r="WKR39" s="704"/>
      <c r="WKS39" s="704"/>
      <c r="WKT39" s="704"/>
      <c r="WKU39" s="704"/>
      <c r="WKV39" s="704"/>
      <c r="WKW39" s="704"/>
      <c r="WKX39" s="704"/>
      <c r="WKY39" s="704"/>
      <c r="WKZ39" s="704"/>
      <c r="WLA39" s="704"/>
      <c r="WLB39" s="704"/>
      <c r="WLC39" s="704"/>
      <c r="WLD39" s="704"/>
      <c r="WLE39" s="704"/>
      <c r="WLF39" s="704"/>
      <c r="WLG39" s="704"/>
      <c r="WLH39" s="704"/>
      <c r="WLI39" s="704"/>
      <c r="WLJ39" s="704"/>
      <c r="WLK39" s="704"/>
      <c r="WLL39" s="704"/>
      <c r="WLM39" s="704"/>
      <c r="WLN39" s="704"/>
      <c r="WLO39" s="704"/>
      <c r="WLP39" s="704"/>
      <c r="WLQ39" s="704"/>
      <c r="WLR39" s="704"/>
      <c r="WLS39" s="704"/>
      <c r="WLT39" s="704"/>
      <c r="WLU39" s="704"/>
      <c r="WLV39" s="704"/>
      <c r="WLW39" s="704"/>
      <c r="WLX39" s="704"/>
      <c r="WLY39" s="704"/>
      <c r="WLZ39" s="704"/>
      <c r="WMA39" s="704"/>
      <c r="WMB39" s="704"/>
      <c r="WMC39" s="704"/>
      <c r="WMD39" s="704"/>
      <c r="WME39" s="704"/>
      <c r="WMF39" s="704"/>
      <c r="WMG39" s="704"/>
      <c r="WMH39" s="704"/>
      <c r="WMI39" s="704"/>
      <c r="WMJ39" s="704"/>
      <c r="WMK39" s="704"/>
      <c r="WML39" s="704"/>
      <c r="WMM39" s="704"/>
      <c r="WMN39" s="704"/>
      <c r="WMO39" s="704"/>
      <c r="WMP39" s="704"/>
      <c r="WMQ39" s="704"/>
      <c r="WMR39" s="704"/>
      <c r="WMS39" s="704"/>
      <c r="WMT39" s="704"/>
      <c r="WMU39" s="704"/>
      <c r="WMV39" s="704"/>
      <c r="WMW39" s="704"/>
      <c r="WMX39" s="704"/>
      <c r="WMY39" s="704"/>
      <c r="WMZ39" s="704"/>
      <c r="WNA39" s="704"/>
      <c r="WNB39" s="704"/>
      <c r="WNC39" s="704"/>
      <c r="WND39" s="704"/>
      <c r="WNE39" s="704"/>
      <c r="WNF39" s="704"/>
      <c r="WNG39" s="704"/>
      <c r="WNH39" s="704"/>
      <c r="WNI39" s="704"/>
      <c r="WNJ39" s="704"/>
      <c r="WNK39" s="704"/>
      <c r="WNL39" s="704"/>
      <c r="WNM39" s="704"/>
      <c r="WNN39" s="704"/>
      <c r="WNO39" s="704"/>
      <c r="WNP39" s="704"/>
      <c r="WNQ39" s="704"/>
      <c r="WNR39" s="704"/>
      <c r="WNS39" s="704"/>
      <c r="WNT39" s="704"/>
      <c r="WNU39" s="704"/>
      <c r="WNV39" s="704"/>
      <c r="WNW39" s="704"/>
      <c r="WNX39" s="704"/>
      <c r="WNY39" s="704"/>
      <c r="WNZ39" s="704"/>
      <c r="WOA39" s="704"/>
      <c r="WOB39" s="704"/>
      <c r="WOC39" s="704"/>
      <c r="WOD39" s="704"/>
      <c r="WOE39" s="704"/>
      <c r="WOF39" s="704"/>
      <c r="WOG39" s="704"/>
      <c r="WOH39" s="704"/>
      <c r="WOI39" s="704"/>
      <c r="WOJ39" s="704"/>
      <c r="WOK39" s="704"/>
      <c r="WOL39" s="704"/>
      <c r="WOM39" s="704"/>
      <c r="WON39" s="704"/>
      <c r="WOO39" s="704"/>
      <c r="WOP39" s="704"/>
      <c r="WOQ39" s="704"/>
      <c r="WOR39" s="704"/>
      <c r="WOS39" s="704"/>
      <c r="WOT39" s="704"/>
      <c r="WOU39" s="704"/>
      <c r="WOV39" s="704"/>
      <c r="WOW39" s="704"/>
      <c r="WOX39" s="704"/>
      <c r="WOY39" s="704"/>
      <c r="WOZ39" s="704"/>
      <c r="WPA39" s="704"/>
      <c r="WPB39" s="704"/>
      <c r="WPC39" s="704"/>
      <c r="WPD39" s="704"/>
      <c r="WPE39" s="704"/>
      <c r="WPF39" s="704"/>
      <c r="WPG39" s="704"/>
      <c r="WPH39" s="704"/>
      <c r="WPI39" s="704"/>
      <c r="WPJ39" s="704"/>
      <c r="WPK39" s="704"/>
      <c r="WPL39" s="704"/>
      <c r="WPM39" s="704"/>
      <c r="WPN39" s="704"/>
      <c r="WPO39" s="704"/>
      <c r="WPP39" s="704"/>
      <c r="WPQ39" s="704"/>
      <c r="WPR39" s="704"/>
      <c r="WPS39" s="704"/>
      <c r="WPT39" s="704"/>
      <c r="WPU39" s="704"/>
      <c r="WPV39" s="704"/>
      <c r="WPW39" s="704"/>
      <c r="WPX39" s="704"/>
      <c r="WPY39" s="704"/>
      <c r="WPZ39" s="704"/>
      <c r="WQA39" s="704"/>
      <c r="WQB39" s="704"/>
      <c r="WQC39" s="704"/>
      <c r="WQD39" s="704"/>
      <c r="WQE39" s="704"/>
      <c r="WQF39" s="704"/>
      <c r="WQG39" s="704"/>
      <c r="WQH39" s="704"/>
      <c r="WQI39" s="704"/>
      <c r="WQJ39" s="704"/>
      <c r="WQK39" s="704"/>
      <c r="WQL39" s="704"/>
      <c r="WQM39" s="704"/>
      <c r="WQN39" s="704"/>
      <c r="WQO39" s="704"/>
      <c r="WQP39" s="704"/>
      <c r="WQQ39" s="704"/>
      <c r="WQR39" s="704"/>
      <c r="WQS39" s="704"/>
      <c r="WQT39" s="704"/>
      <c r="WQU39" s="704"/>
      <c r="WQV39" s="704"/>
      <c r="WQW39" s="704"/>
      <c r="WQX39" s="704"/>
      <c r="WQY39" s="704"/>
      <c r="WQZ39" s="704"/>
      <c r="WRA39" s="704"/>
      <c r="WRB39" s="704"/>
      <c r="WRC39" s="704"/>
      <c r="WRD39" s="704"/>
      <c r="WRE39" s="704"/>
      <c r="WRF39" s="704"/>
      <c r="WRG39" s="704"/>
      <c r="WRH39" s="704"/>
      <c r="WRI39" s="704"/>
      <c r="WRJ39" s="704"/>
      <c r="WRK39" s="704"/>
      <c r="WRL39" s="704"/>
      <c r="WRM39" s="704"/>
      <c r="WRN39" s="704"/>
      <c r="WRO39" s="704"/>
      <c r="WRP39" s="704"/>
      <c r="WRQ39" s="704"/>
      <c r="WRR39" s="704"/>
      <c r="WRS39" s="704"/>
      <c r="WRT39" s="704"/>
      <c r="WRU39" s="704"/>
      <c r="WRV39" s="704"/>
      <c r="WRW39" s="704"/>
      <c r="WRX39" s="704"/>
      <c r="WRY39" s="704"/>
      <c r="WRZ39" s="704"/>
      <c r="WSA39" s="704"/>
      <c r="WSB39" s="704"/>
      <c r="WSC39" s="704"/>
      <c r="WSD39" s="704"/>
      <c r="WSE39" s="704"/>
      <c r="WSF39" s="704"/>
      <c r="WSG39" s="704"/>
      <c r="WSH39" s="704"/>
      <c r="WSI39" s="704"/>
      <c r="WSJ39" s="704"/>
      <c r="WSK39" s="704"/>
      <c r="WSL39" s="704"/>
      <c r="WSM39" s="704"/>
      <c r="WSN39" s="704"/>
      <c r="WSO39" s="704"/>
      <c r="WSP39" s="704"/>
      <c r="WSQ39" s="704"/>
      <c r="WSR39" s="704"/>
      <c r="WSS39" s="704"/>
      <c r="WST39" s="704"/>
      <c r="WSU39" s="704"/>
      <c r="WSV39" s="704"/>
      <c r="WSW39" s="704"/>
      <c r="WSX39" s="704"/>
      <c r="WSY39" s="704"/>
      <c r="WSZ39" s="704"/>
      <c r="WTA39" s="704"/>
      <c r="WTB39" s="704"/>
      <c r="WTC39" s="704"/>
      <c r="WTD39" s="704"/>
      <c r="WTE39" s="704"/>
      <c r="WTF39" s="704"/>
      <c r="WTG39" s="704"/>
      <c r="WTH39" s="704"/>
      <c r="WTI39" s="704"/>
      <c r="WTJ39" s="704"/>
      <c r="WTK39" s="704"/>
      <c r="WTL39" s="704"/>
      <c r="WTM39" s="704"/>
      <c r="WTN39" s="704"/>
      <c r="WTO39" s="704"/>
      <c r="WTP39" s="704"/>
      <c r="WTQ39" s="704"/>
      <c r="WTR39" s="704"/>
      <c r="WTS39" s="704"/>
      <c r="WTT39" s="704"/>
      <c r="WTU39" s="704"/>
      <c r="WTV39" s="704"/>
      <c r="WTW39" s="704"/>
      <c r="WTX39" s="704"/>
      <c r="WTY39" s="704"/>
      <c r="WTZ39" s="704"/>
      <c r="WUA39" s="704"/>
      <c r="WUB39" s="704"/>
      <c r="WUC39" s="704"/>
      <c r="WUD39" s="704"/>
      <c r="WUE39" s="704"/>
      <c r="WUF39" s="704"/>
      <c r="WUG39" s="704"/>
      <c r="WUH39" s="704"/>
      <c r="WUI39" s="704"/>
      <c r="WUJ39" s="704"/>
      <c r="WUK39" s="704"/>
      <c r="WUL39" s="704"/>
      <c r="WUM39" s="704"/>
      <c r="WUN39" s="704"/>
      <c r="WUO39" s="704"/>
      <c r="WUP39" s="704"/>
      <c r="WUQ39" s="704"/>
      <c r="WUR39" s="704"/>
      <c r="WUS39" s="704"/>
      <c r="WUT39" s="704"/>
      <c r="WUU39" s="704"/>
      <c r="WUV39" s="704"/>
      <c r="WUW39" s="704"/>
      <c r="WUX39" s="704"/>
      <c r="WUY39" s="704"/>
      <c r="WUZ39" s="704"/>
      <c r="WVA39" s="704"/>
      <c r="WVB39" s="704"/>
      <c r="WVC39" s="704"/>
      <c r="WVD39" s="704"/>
      <c r="WVE39" s="704"/>
      <c r="WVF39" s="704"/>
      <c r="WVG39" s="704"/>
      <c r="WVH39" s="704"/>
      <c r="WVI39" s="704"/>
      <c r="WVJ39" s="704"/>
      <c r="WVK39" s="704"/>
      <c r="WVL39" s="704"/>
      <c r="WVM39" s="704"/>
      <c r="WVN39" s="704"/>
      <c r="WVO39" s="704"/>
      <c r="WVP39" s="704"/>
      <c r="WVQ39" s="704"/>
      <c r="WVR39" s="704"/>
      <c r="WVS39" s="704"/>
      <c r="WVT39" s="704"/>
      <c r="WVU39" s="704"/>
      <c r="WVV39" s="704"/>
      <c r="WVW39" s="704"/>
      <c r="WVX39" s="704"/>
      <c r="WVY39" s="704"/>
      <c r="WVZ39" s="704"/>
      <c r="WWA39" s="704"/>
      <c r="WWB39" s="704"/>
      <c r="WWC39" s="704"/>
      <c r="WWD39" s="704"/>
      <c r="WWE39" s="704"/>
      <c r="WWF39" s="704"/>
      <c r="WWG39" s="704"/>
      <c r="WWH39" s="704"/>
      <c r="WWI39" s="704"/>
      <c r="WWJ39" s="704"/>
      <c r="WWK39" s="704"/>
      <c r="WWL39" s="704"/>
      <c r="WWM39" s="704"/>
      <c r="WWN39" s="704"/>
      <c r="WWO39" s="704"/>
      <c r="WWP39" s="704"/>
      <c r="WWQ39" s="704"/>
      <c r="WWR39" s="704"/>
      <c r="WWS39" s="704"/>
      <c r="WWT39" s="704"/>
      <c r="WWU39" s="704"/>
      <c r="WWV39" s="704"/>
      <c r="WWW39" s="704"/>
      <c r="WWX39" s="704"/>
      <c r="WWY39" s="704"/>
      <c r="WWZ39" s="704"/>
      <c r="WXA39" s="704"/>
      <c r="WXB39" s="704"/>
      <c r="WXC39" s="704"/>
      <c r="WXD39" s="704"/>
      <c r="WXE39" s="704"/>
      <c r="WXF39" s="704"/>
      <c r="WXG39" s="704"/>
      <c r="WXH39" s="704"/>
      <c r="WXI39" s="704"/>
      <c r="WXJ39" s="704"/>
      <c r="WXK39" s="704"/>
      <c r="WXL39" s="704"/>
      <c r="WXM39" s="704"/>
      <c r="WXN39" s="704"/>
      <c r="WXO39" s="704"/>
      <c r="WXP39" s="704"/>
      <c r="WXQ39" s="704"/>
      <c r="WXR39" s="704"/>
      <c r="WXS39" s="704"/>
      <c r="WXT39" s="704"/>
      <c r="WXU39" s="704"/>
      <c r="WXV39" s="704"/>
      <c r="WXW39" s="704"/>
      <c r="WXX39" s="704"/>
      <c r="WXY39" s="704"/>
      <c r="WXZ39" s="704"/>
      <c r="WYA39" s="704"/>
      <c r="WYB39" s="704"/>
      <c r="WYC39" s="704"/>
      <c r="WYD39" s="704"/>
      <c r="WYE39" s="704"/>
      <c r="WYF39" s="704"/>
      <c r="WYG39" s="704"/>
      <c r="WYH39" s="704"/>
      <c r="WYI39" s="704"/>
      <c r="WYJ39" s="704"/>
      <c r="WYK39" s="704"/>
      <c r="WYL39" s="704"/>
      <c r="WYM39" s="704"/>
      <c r="WYN39" s="704"/>
      <c r="WYO39" s="704"/>
      <c r="WYP39" s="704"/>
      <c r="WYQ39" s="704"/>
      <c r="WYR39" s="704"/>
      <c r="WYS39" s="704"/>
      <c r="WYT39" s="704"/>
      <c r="WYU39" s="704"/>
      <c r="WYV39" s="704"/>
      <c r="WYW39" s="704"/>
      <c r="WYX39" s="704"/>
      <c r="WYY39" s="704"/>
      <c r="WYZ39" s="704"/>
      <c r="WZA39" s="704"/>
      <c r="WZB39" s="704"/>
      <c r="WZC39" s="704"/>
      <c r="WZD39" s="704"/>
      <c r="WZE39" s="704"/>
      <c r="WZF39" s="704"/>
      <c r="WZG39" s="704"/>
      <c r="WZH39" s="704"/>
      <c r="WZI39" s="704"/>
      <c r="WZJ39" s="704"/>
      <c r="WZK39" s="704"/>
      <c r="WZL39" s="704"/>
      <c r="WZM39" s="704"/>
      <c r="WZN39" s="704"/>
      <c r="WZO39" s="704"/>
      <c r="WZP39" s="704"/>
      <c r="WZQ39" s="704"/>
      <c r="WZR39" s="704"/>
      <c r="WZS39" s="704"/>
      <c r="WZT39" s="704"/>
      <c r="WZU39" s="704"/>
      <c r="WZV39" s="704"/>
      <c r="WZW39" s="704"/>
      <c r="WZX39" s="704"/>
      <c r="WZY39" s="704"/>
      <c r="WZZ39" s="704"/>
      <c r="XAA39" s="704"/>
      <c r="XAB39" s="704"/>
      <c r="XAC39" s="704"/>
      <c r="XAD39" s="704"/>
      <c r="XAE39" s="704"/>
      <c r="XAF39" s="704"/>
      <c r="XAG39" s="704"/>
      <c r="XAH39" s="704"/>
      <c r="XAI39" s="704"/>
      <c r="XAJ39" s="704"/>
      <c r="XAK39" s="704"/>
      <c r="XAL39" s="704"/>
      <c r="XAM39" s="704"/>
      <c r="XAN39" s="704"/>
      <c r="XAO39" s="704"/>
      <c r="XAP39" s="704"/>
      <c r="XAQ39" s="704"/>
      <c r="XAR39" s="704"/>
      <c r="XAS39" s="704"/>
      <c r="XAT39" s="704"/>
      <c r="XAU39" s="704"/>
      <c r="XAV39" s="704"/>
      <c r="XAW39" s="704"/>
      <c r="XAX39" s="704"/>
      <c r="XAY39" s="704"/>
      <c r="XAZ39" s="704"/>
      <c r="XBA39" s="704"/>
      <c r="XBB39" s="704"/>
      <c r="XBC39" s="704"/>
      <c r="XBD39" s="704"/>
      <c r="XBE39" s="704"/>
      <c r="XBF39" s="704"/>
      <c r="XBG39" s="704"/>
      <c r="XBH39" s="704"/>
      <c r="XBI39" s="704"/>
      <c r="XBJ39" s="704"/>
      <c r="XBK39" s="704"/>
      <c r="XBL39" s="704"/>
      <c r="XBM39" s="704"/>
      <c r="XBN39" s="704"/>
      <c r="XBO39" s="704"/>
      <c r="XBP39" s="704"/>
      <c r="XBQ39" s="704"/>
      <c r="XBR39" s="704"/>
      <c r="XBS39" s="704"/>
      <c r="XBT39" s="704"/>
      <c r="XBU39" s="704"/>
      <c r="XBV39" s="704"/>
      <c r="XBW39" s="704"/>
      <c r="XBX39" s="704"/>
      <c r="XBY39" s="704"/>
      <c r="XBZ39" s="704"/>
      <c r="XCA39" s="704"/>
      <c r="XCB39" s="704"/>
      <c r="XCC39" s="704"/>
      <c r="XCD39" s="704"/>
      <c r="XCE39" s="704"/>
      <c r="XCF39" s="704"/>
      <c r="XCG39" s="704"/>
      <c r="XCH39" s="704"/>
      <c r="XCI39" s="704"/>
      <c r="XCJ39" s="704"/>
      <c r="XCK39" s="704"/>
      <c r="XCL39" s="704"/>
      <c r="XCM39" s="704"/>
      <c r="XCN39" s="704"/>
      <c r="XCO39" s="704"/>
      <c r="XCP39" s="704"/>
      <c r="XCQ39" s="704"/>
      <c r="XCR39" s="704"/>
      <c r="XCS39" s="704"/>
      <c r="XCT39" s="704"/>
      <c r="XCU39" s="704"/>
      <c r="XCV39" s="704"/>
      <c r="XCW39" s="704"/>
      <c r="XCX39" s="704"/>
      <c r="XCY39" s="704"/>
      <c r="XCZ39" s="704"/>
      <c r="XDA39" s="704"/>
      <c r="XDB39" s="704"/>
      <c r="XDC39" s="704"/>
      <c r="XDD39" s="704"/>
      <c r="XDE39" s="704"/>
      <c r="XDF39" s="704"/>
      <c r="XDG39" s="704"/>
      <c r="XDH39" s="704"/>
      <c r="XDI39" s="704"/>
      <c r="XDJ39" s="704"/>
      <c r="XDK39" s="704"/>
      <c r="XDL39" s="704"/>
      <c r="XDM39" s="704"/>
      <c r="XDN39" s="704"/>
      <c r="XDO39" s="704"/>
      <c r="XDP39" s="704"/>
      <c r="XDQ39" s="704"/>
      <c r="XDR39" s="704"/>
      <c r="XDS39" s="704"/>
      <c r="XDT39" s="704"/>
      <c r="XDU39" s="704"/>
      <c r="XDV39" s="704"/>
      <c r="XDW39" s="704"/>
      <c r="XDX39" s="704"/>
      <c r="XDY39" s="704"/>
      <c r="XDZ39" s="704"/>
      <c r="XEA39" s="704"/>
      <c r="XEB39" s="704"/>
      <c r="XEC39" s="704"/>
      <c r="XED39" s="704"/>
      <c r="XEE39" s="704"/>
      <c r="XEF39" s="704"/>
      <c r="XEG39" s="704"/>
      <c r="XEH39" s="704"/>
      <c r="XEI39" s="704"/>
      <c r="XEJ39" s="704"/>
      <c r="XEK39" s="704"/>
      <c r="XEL39" s="704"/>
      <c r="XEM39" s="704"/>
      <c r="XEN39" s="704"/>
      <c r="XEO39" s="704"/>
      <c r="XEP39" s="704"/>
      <c r="XEQ39" s="704"/>
      <c r="XER39" s="704"/>
      <c r="XES39" s="704"/>
      <c r="XET39" s="704"/>
      <c r="XEU39" s="704"/>
      <c r="XEV39" s="704"/>
      <c r="XEW39" s="704"/>
      <c r="XEX39" s="704"/>
      <c r="XEY39" s="704"/>
      <c r="XEZ39" s="704"/>
      <c r="XFA39" s="704"/>
    </row>
    <row r="40" spans="1:16381" ht="30" customHeight="1">
      <c r="A40" s="144" t="s">
        <v>81</v>
      </c>
      <c r="B40" s="150" t="s">
        <v>82</v>
      </c>
      <c r="C40" s="149"/>
      <c r="D40" s="149"/>
      <c r="E40" s="149"/>
      <c r="F40" s="149"/>
      <c r="G40" s="149"/>
      <c r="H40" s="149"/>
      <c r="I40" s="149"/>
      <c r="J40" s="149"/>
      <c r="K40" s="149"/>
      <c r="L40" s="149"/>
      <c r="M40" s="149"/>
      <c r="N40" s="149"/>
      <c r="O40" s="7"/>
      <c r="P40" s="7"/>
      <c r="Q40" s="7"/>
      <c r="R40" s="7"/>
      <c r="S40" s="7"/>
      <c r="T40" s="7"/>
      <c r="U40" s="10"/>
      <c r="V40" s="10"/>
      <c r="W40" s="10"/>
      <c r="X40" s="10"/>
      <c r="Y40" s="41"/>
      <c r="Z40" s="10"/>
      <c r="AA40" s="10"/>
      <c r="AB40" s="10"/>
      <c r="AC40" s="10"/>
      <c r="AD40" s="41"/>
      <c r="AE40" s="10"/>
      <c r="AF40" s="10"/>
      <c r="AG40" s="10"/>
      <c r="AH40" s="10"/>
      <c r="AI40" s="41"/>
      <c r="AJ40" s="10"/>
      <c r="AK40" s="124"/>
      <c r="AL40" s="20"/>
      <c r="AM40" s="260"/>
      <c r="AN40" s="260"/>
      <c r="AO40" s="260"/>
      <c r="AP40" s="260"/>
      <c r="AQ40" s="260"/>
      <c r="AR40" s="260"/>
      <c r="AS40" s="260"/>
      <c r="AT40" s="260"/>
      <c r="AU40" s="260"/>
      <c r="AV40" s="260"/>
      <c r="AW40" s="260"/>
      <c r="AX40" s="260"/>
      <c r="AY40" s="260"/>
      <c r="AZ40" s="260"/>
      <c r="BA40" s="260"/>
      <c r="BB40" s="260"/>
      <c r="BC40" s="260"/>
      <c r="BD40" s="260"/>
      <c r="BE40" s="260"/>
      <c r="BF40" s="526"/>
      <c r="BG40" s="260"/>
      <c r="BH40" s="260"/>
      <c r="BI40" s="260"/>
      <c r="BJ40" s="260"/>
      <c r="BK40" s="260"/>
    </row>
    <row r="41" spans="1:16381" ht="45.75" customHeight="1">
      <c r="A41" s="164" t="s">
        <v>83</v>
      </c>
      <c r="B41" s="164" t="s">
        <v>84</v>
      </c>
      <c r="C41" s="74"/>
      <c r="D41" s="74"/>
      <c r="E41" s="74"/>
      <c r="F41" s="74"/>
      <c r="G41" s="74"/>
      <c r="H41" s="74"/>
      <c r="I41" s="75"/>
      <c r="J41" s="76"/>
      <c r="U41" s="8"/>
      <c r="V41" s="8"/>
      <c r="W41" s="8"/>
      <c r="X41" s="8"/>
      <c r="Y41" s="45"/>
      <c r="Z41" s="8"/>
      <c r="AA41" s="8"/>
      <c r="AB41" s="8"/>
      <c r="AC41" s="8"/>
      <c r="AD41" s="45"/>
      <c r="AE41" s="8"/>
      <c r="AF41" s="8"/>
      <c r="AG41" s="8"/>
      <c r="AH41" s="8"/>
      <c r="AI41" s="45"/>
      <c r="AJ41" s="8"/>
      <c r="AK41" s="123"/>
      <c r="AL41" s="20"/>
      <c r="AM41" s="8"/>
      <c r="AN41" s="8"/>
      <c r="AO41" s="45"/>
      <c r="AP41" s="8"/>
      <c r="AQ41" s="8"/>
      <c r="AR41" s="8"/>
      <c r="AS41" s="8"/>
      <c r="AT41" s="45"/>
      <c r="AU41" s="8"/>
      <c r="AV41" s="8"/>
      <c r="AW41" s="8"/>
      <c r="AX41" s="8"/>
      <c r="AY41" s="45"/>
      <c r="AZ41" s="8"/>
      <c r="BA41" s="8"/>
      <c r="BB41" s="8"/>
      <c r="BC41" s="8"/>
      <c r="BD41" s="45"/>
      <c r="BE41" s="8"/>
      <c r="BF41" s="123"/>
      <c r="BG41" s="8"/>
      <c r="BH41" s="8"/>
      <c r="BI41" s="45"/>
      <c r="BJ41" s="8"/>
      <c r="BK41" s="8"/>
    </row>
    <row r="42" spans="1:16381" ht="12.75">
      <c r="A42" s="708"/>
      <c r="B42" s="708"/>
      <c r="C42" s="708"/>
      <c r="D42" s="708"/>
      <c r="E42" s="708"/>
      <c r="F42" s="708"/>
      <c r="G42" s="708"/>
      <c r="H42" s="708"/>
      <c r="I42" s="708"/>
      <c r="J42" s="708"/>
      <c r="K42" s="708"/>
      <c r="L42" s="708"/>
      <c r="M42" s="708"/>
      <c r="N42" s="708"/>
      <c r="O42" s="7"/>
      <c r="P42" s="7"/>
      <c r="Q42" s="7"/>
      <c r="R42" s="7"/>
      <c r="S42" s="7"/>
      <c r="T42" s="7"/>
      <c r="U42" s="10"/>
      <c r="V42" s="10"/>
      <c r="W42" s="10"/>
      <c r="X42" s="10"/>
      <c r="Y42" s="41"/>
      <c r="Z42" s="10"/>
      <c r="AA42" s="10"/>
      <c r="AB42" s="10"/>
      <c r="AC42" s="10"/>
      <c r="AD42" s="41"/>
      <c r="AE42" s="10"/>
      <c r="AF42" s="10"/>
      <c r="AG42" s="10"/>
      <c r="AH42" s="10"/>
      <c r="AI42" s="41"/>
      <c r="AJ42" s="10"/>
      <c r="AK42" s="124"/>
      <c r="AL42" s="20"/>
      <c r="AM42" s="10"/>
      <c r="AN42" s="10"/>
      <c r="AO42" s="41"/>
      <c r="AP42" s="10"/>
      <c r="AQ42" s="10"/>
      <c r="AR42" s="10"/>
      <c r="AS42" s="10"/>
      <c r="AT42" s="41"/>
      <c r="AU42" s="10"/>
      <c r="AV42" s="10"/>
      <c r="AW42" s="10"/>
      <c r="AX42" s="10"/>
      <c r="AY42" s="41"/>
      <c r="AZ42" s="10"/>
      <c r="BA42" s="10"/>
      <c r="BB42" s="10"/>
      <c r="BC42" s="10"/>
      <c r="BD42" s="41"/>
      <c r="BE42" s="10"/>
      <c r="BF42" s="124"/>
      <c r="BG42" s="10"/>
      <c r="BH42" s="10"/>
      <c r="BI42" s="41"/>
      <c r="BJ42" s="10"/>
      <c r="BK42" s="10"/>
    </row>
    <row r="43" spans="1:16381" ht="15" customHeight="1">
      <c r="A43" s="73"/>
      <c r="B43" s="73"/>
      <c r="C43" s="74"/>
      <c r="D43" s="74"/>
      <c r="E43" s="74"/>
      <c r="F43" s="74"/>
      <c r="G43" s="74"/>
      <c r="H43" s="74"/>
      <c r="I43" s="75"/>
      <c r="J43" s="76"/>
      <c r="U43" s="8"/>
      <c r="V43" s="8"/>
      <c r="W43" s="8"/>
      <c r="X43" s="8"/>
      <c r="Y43" s="45"/>
      <c r="Z43" s="8"/>
      <c r="AA43" s="8"/>
      <c r="AB43" s="8"/>
      <c r="AC43" s="8"/>
      <c r="AD43" s="45"/>
      <c r="AE43" s="8"/>
      <c r="AF43" s="8"/>
      <c r="AG43" s="8"/>
      <c r="AH43" s="8"/>
      <c r="AI43" s="45"/>
      <c r="AJ43" s="8"/>
      <c r="AK43" s="123"/>
      <c r="AL43" s="20"/>
      <c r="AM43" s="8"/>
      <c r="AN43" s="8"/>
      <c r="AO43" s="45"/>
      <c r="AP43" s="8"/>
      <c r="AQ43" s="8"/>
      <c r="AR43" s="8"/>
      <c r="AS43" s="8"/>
      <c r="AT43" s="45"/>
      <c r="AU43" s="8"/>
      <c r="AV43" s="8"/>
      <c r="AW43" s="8"/>
      <c r="AX43" s="8"/>
      <c r="AY43" s="45"/>
      <c r="AZ43" s="8"/>
      <c r="BA43" s="8"/>
      <c r="BB43" s="8"/>
      <c r="BC43" s="8"/>
      <c r="BD43" s="45"/>
      <c r="BE43" s="8"/>
      <c r="BF43" s="123"/>
      <c r="BG43" s="8"/>
      <c r="BH43" s="8"/>
      <c r="BI43" s="45"/>
      <c r="BJ43" s="8"/>
      <c r="BK43" s="8"/>
    </row>
    <row r="44" spans="1:16381" ht="28.5" customHeight="1">
      <c r="A44" s="73"/>
      <c r="B44" s="73"/>
      <c r="C44" s="74"/>
      <c r="D44" s="74"/>
      <c r="E44" s="74"/>
      <c r="F44" s="74"/>
      <c r="G44" s="74"/>
      <c r="H44" s="74"/>
      <c r="I44" s="75"/>
      <c r="J44" s="76"/>
      <c r="U44" s="8"/>
      <c r="V44" s="8"/>
      <c r="W44" s="8"/>
      <c r="X44" s="8"/>
      <c r="Y44" s="45"/>
      <c r="Z44" s="8"/>
      <c r="AA44" s="8"/>
      <c r="AB44" s="8"/>
      <c r="AC44" s="8"/>
      <c r="AD44" s="45"/>
      <c r="AE44" s="8"/>
      <c r="AF44" s="8"/>
      <c r="AG44" s="8"/>
      <c r="AH44" s="8"/>
      <c r="AI44" s="45"/>
      <c r="AJ44" s="8"/>
      <c r="AK44" s="123"/>
      <c r="AL44" s="20"/>
      <c r="AM44" s="8"/>
      <c r="AN44" s="8"/>
      <c r="AO44" s="45"/>
      <c r="AP44" s="8"/>
      <c r="AQ44" s="8"/>
      <c r="AR44" s="8"/>
      <c r="AS44" s="8"/>
      <c r="AT44" s="45"/>
      <c r="AU44" s="8"/>
      <c r="AV44" s="8"/>
      <c r="AW44" s="8"/>
      <c r="AX44" s="8"/>
      <c r="AY44" s="45"/>
      <c r="AZ44" s="8"/>
      <c r="BA44" s="8"/>
      <c r="BB44" s="8"/>
      <c r="BC44" s="8"/>
      <c r="BD44" s="45"/>
      <c r="BE44" s="8"/>
      <c r="BF44" s="123"/>
      <c r="BG44" s="8"/>
      <c r="BH44" s="8"/>
      <c r="BI44" s="45"/>
      <c r="BJ44" s="8"/>
      <c r="BK44" s="8"/>
    </row>
    <row r="45" spans="1:16381" ht="28.5" customHeight="1">
      <c r="A45" s="73"/>
      <c r="B45" s="73"/>
      <c r="C45" s="74"/>
      <c r="D45" s="74"/>
      <c r="E45" s="74"/>
      <c r="F45" s="74"/>
      <c r="G45" s="74"/>
      <c r="H45" s="74"/>
      <c r="I45" s="75"/>
      <c r="J45" s="76"/>
      <c r="U45" s="8"/>
      <c r="V45" s="8"/>
      <c r="W45" s="8"/>
      <c r="X45" s="8"/>
      <c r="Y45" s="45"/>
      <c r="Z45" s="8"/>
      <c r="AA45" s="8"/>
      <c r="AB45" s="8"/>
      <c r="AC45" s="8"/>
      <c r="AD45" s="45"/>
      <c r="AE45" s="8"/>
      <c r="AF45" s="8"/>
      <c r="AG45" s="8"/>
      <c r="AH45" s="8"/>
      <c r="AI45" s="45"/>
      <c r="AJ45" s="8"/>
      <c r="AK45" s="123"/>
      <c r="AL45" s="20"/>
      <c r="AM45" s="8"/>
      <c r="AN45" s="8"/>
      <c r="AO45" s="45"/>
      <c r="AP45" s="8"/>
      <c r="AQ45" s="8"/>
      <c r="AR45" s="8"/>
      <c r="AS45" s="8"/>
      <c r="AT45" s="45"/>
      <c r="AU45" s="8"/>
      <c r="AV45" s="8"/>
      <c r="AW45" s="8"/>
      <c r="AX45" s="8"/>
      <c r="AY45" s="45"/>
      <c r="AZ45" s="8"/>
      <c r="BA45" s="8"/>
      <c r="BB45" s="8"/>
      <c r="BC45" s="8"/>
      <c r="BD45" s="45"/>
      <c r="BE45" s="8"/>
      <c r="BF45" s="123"/>
      <c r="BG45" s="8"/>
      <c r="BH45" s="8"/>
      <c r="BI45" s="45"/>
      <c r="BJ45" s="8"/>
      <c r="BK45" s="8"/>
    </row>
    <row r="46" spans="1:16381" ht="28.5" customHeight="1">
      <c r="A46" s="73"/>
      <c r="B46" s="73"/>
      <c r="C46" s="74"/>
      <c r="D46" s="74"/>
      <c r="E46" s="74"/>
      <c r="F46" s="74"/>
      <c r="G46" s="74"/>
      <c r="H46" s="74"/>
      <c r="I46" s="75"/>
      <c r="J46" s="76"/>
      <c r="U46" s="8"/>
      <c r="V46" s="8"/>
      <c r="W46" s="8"/>
      <c r="X46" s="8"/>
      <c r="Y46" s="45"/>
      <c r="Z46" s="8"/>
      <c r="AA46" s="8"/>
      <c r="AB46" s="8"/>
      <c r="AC46" s="8"/>
      <c r="AD46" s="45"/>
      <c r="AE46" s="8"/>
      <c r="AF46" s="8"/>
      <c r="AG46" s="8"/>
      <c r="AH46" s="8"/>
      <c r="AI46" s="45"/>
      <c r="AJ46" s="8"/>
      <c r="AK46" s="123"/>
      <c r="AL46" s="20"/>
      <c r="AM46" s="8"/>
      <c r="AN46" s="8"/>
      <c r="AO46" s="45"/>
      <c r="AP46" s="8"/>
      <c r="AQ46" s="8"/>
      <c r="AR46" s="8"/>
      <c r="AS46" s="8"/>
      <c r="AT46" s="45"/>
      <c r="AU46" s="8"/>
      <c r="AV46" s="8"/>
      <c r="AW46" s="8"/>
      <c r="AX46" s="8"/>
      <c r="AY46" s="45"/>
      <c r="AZ46" s="8"/>
      <c r="BA46" s="8"/>
      <c r="BB46" s="8"/>
      <c r="BC46" s="8"/>
      <c r="BD46" s="45"/>
      <c r="BE46" s="8"/>
      <c r="BF46" s="123"/>
      <c r="BG46" s="8"/>
      <c r="BH46" s="8"/>
      <c r="BI46" s="45"/>
      <c r="BJ46" s="8"/>
      <c r="BK46" s="8"/>
    </row>
    <row r="47" spans="1:16381" ht="28.5" customHeight="1">
      <c r="A47" s="73"/>
      <c r="B47" s="73"/>
      <c r="C47" s="74"/>
      <c r="D47" s="74"/>
      <c r="E47" s="74"/>
      <c r="F47" s="74"/>
      <c r="G47" s="74"/>
      <c r="H47" s="74"/>
      <c r="I47" s="75"/>
      <c r="J47" s="76"/>
      <c r="U47" s="8"/>
      <c r="V47" s="8"/>
      <c r="W47" s="8"/>
      <c r="X47" s="8"/>
      <c r="Y47" s="45"/>
      <c r="Z47" s="8"/>
      <c r="AA47" s="8"/>
      <c r="AB47" s="8"/>
      <c r="AC47" s="8"/>
      <c r="AD47" s="45"/>
      <c r="AE47" s="8"/>
      <c r="AF47" s="8"/>
      <c r="AG47" s="8"/>
      <c r="AH47" s="8"/>
      <c r="AI47" s="45"/>
      <c r="AJ47" s="8"/>
      <c r="AK47" s="123"/>
      <c r="AL47" s="20"/>
      <c r="AM47" s="8"/>
      <c r="AN47" s="8"/>
      <c r="AO47" s="45"/>
      <c r="AP47" s="8"/>
      <c r="AQ47" s="8"/>
      <c r="AR47" s="8"/>
      <c r="AS47" s="8"/>
      <c r="AT47" s="45"/>
      <c r="AU47" s="8"/>
      <c r="AV47" s="8"/>
      <c r="AW47" s="8"/>
      <c r="AX47" s="8"/>
      <c r="AY47" s="45"/>
      <c r="AZ47" s="8"/>
      <c r="BA47" s="8"/>
      <c r="BB47" s="8"/>
      <c r="BC47" s="8"/>
      <c r="BD47" s="45"/>
      <c r="BE47" s="8"/>
      <c r="BF47" s="123"/>
      <c r="BG47" s="8"/>
      <c r="BH47" s="8"/>
      <c r="BI47" s="45"/>
      <c r="BJ47" s="8"/>
      <c r="BK47" s="8"/>
    </row>
    <row r="48" spans="1:16381" ht="28.5" customHeight="1">
      <c r="A48" s="73"/>
      <c r="B48" s="73"/>
      <c r="C48" s="74"/>
      <c r="D48" s="74"/>
      <c r="E48" s="74"/>
      <c r="F48" s="74"/>
      <c r="G48" s="74"/>
      <c r="H48" s="74"/>
      <c r="I48" s="75"/>
      <c r="J48" s="76"/>
      <c r="U48" s="8"/>
      <c r="V48" s="8"/>
      <c r="W48" s="8"/>
      <c r="X48" s="8"/>
      <c r="Y48" s="45"/>
      <c r="Z48" s="8"/>
      <c r="AA48" s="8"/>
      <c r="AB48" s="8"/>
      <c r="AC48" s="8"/>
      <c r="AD48" s="45"/>
      <c r="AE48" s="8"/>
      <c r="AF48" s="8"/>
      <c r="AG48" s="8"/>
      <c r="AH48" s="8"/>
      <c r="AI48" s="45"/>
      <c r="AJ48" s="8"/>
      <c r="AK48" s="123"/>
      <c r="AL48" s="20"/>
      <c r="AM48" s="8"/>
      <c r="AN48" s="8"/>
      <c r="AO48" s="45"/>
      <c r="AP48" s="8"/>
      <c r="AQ48" s="8"/>
      <c r="AR48" s="8"/>
      <c r="AS48" s="8"/>
      <c r="AT48" s="45"/>
      <c r="AU48" s="8"/>
      <c r="AV48" s="8"/>
      <c r="AW48" s="8"/>
      <c r="AX48" s="8"/>
      <c r="AY48" s="45"/>
      <c r="AZ48" s="8"/>
      <c r="BA48" s="8"/>
      <c r="BB48" s="8"/>
      <c r="BC48" s="8"/>
      <c r="BD48" s="45"/>
      <c r="BE48" s="8"/>
      <c r="BF48" s="123"/>
      <c r="BG48" s="8"/>
      <c r="BH48" s="8"/>
      <c r="BI48" s="45"/>
      <c r="BJ48" s="8"/>
      <c r="BK48" s="8"/>
    </row>
    <row r="49" spans="1:63" ht="28.5" customHeight="1">
      <c r="A49" s="73"/>
      <c r="B49" s="73"/>
      <c r="C49" s="74"/>
      <c r="D49" s="74"/>
      <c r="E49" s="74"/>
      <c r="F49" s="74"/>
      <c r="G49" s="74"/>
      <c r="H49" s="74"/>
      <c r="I49" s="75"/>
      <c r="J49" s="76"/>
      <c r="U49" s="8"/>
      <c r="V49" s="8"/>
      <c r="W49" s="8"/>
      <c r="X49" s="8"/>
      <c r="Y49" s="45"/>
      <c r="Z49" s="8"/>
      <c r="AA49" s="8"/>
      <c r="AB49" s="8"/>
      <c r="AC49" s="8"/>
      <c r="AD49" s="45"/>
      <c r="AE49" s="8"/>
      <c r="AF49" s="8"/>
      <c r="AG49" s="8"/>
      <c r="AH49" s="8"/>
      <c r="AI49" s="45"/>
      <c r="AJ49" s="8"/>
      <c r="AK49" s="123"/>
      <c r="AL49" s="20"/>
      <c r="AM49" s="8"/>
      <c r="AN49" s="8"/>
      <c r="AO49" s="45"/>
      <c r="AP49" s="8"/>
      <c r="AQ49" s="8"/>
      <c r="AR49" s="8"/>
      <c r="AS49" s="8"/>
      <c r="AT49" s="45"/>
      <c r="AU49" s="8"/>
      <c r="AV49" s="8"/>
      <c r="AW49" s="8"/>
      <c r="AX49" s="8"/>
      <c r="AY49" s="45"/>
      <c r="AZ49" s="8"/>
      <c r="BA49" s="8"/>
      <c r="BB49" s="8"/>
      <c r="BC49" s="8"/>
      <c r="BD49" s="45"/>
      <c r="BE49" s="8"/>
      <c r="BF49" s="123"/>
      <c r="BG49" s="8"/>
      <c r="BH49" s="8"/>
      <c r="BI49" s="45"/>
      <c r="BJ49" s="8"/>
      <c r="BK49" s="8"/>
    </row>
    <row r="50" spans="1:63" ht="28.5" customHeight="1">
      <c r="A50" s="73"/>
      <c r="B50" s="73"/>
      <c r="C50" s="74"/>
      <c r="D50" s="74"/>
      <c r="E50" s="74"/>
      <c r="F50" s="74"/>
      <c r="G50" s="74"/>
      <c r="H50" s="74"/>
      <c r="I50" s="75"/>
      <c r="J50" s="76"/>
      <c r="U50" s="8"/>
      <c r="V50" s="8"/>
      <c r="W50" s="8"/>
      <c r="X50" s="8"/>
      <c r="Y50" s="45"/>
      <c r="Z50" s="8"/>
      <c r="AA50" s="8"/>
      <c r="AB50" s="8"/>
      <c r="AC50" s="8"/>
      <c r="AD50" s="45"/>
      <c r="AE50" s="8"/>
      <c r="AF50" s="8"/>
      <c r="AG50" s="8"/>
      <c r="AH50" s="8"/>
      <c r="AI50" s="45"/>
      <c r="AJ50" s="8"/>
      <c r="AK50" s="123"/>
      <c r="AL50" s="20"/>
      <c r="AM50" s="8"/>
      <c r="AN50" s="8"/>
      <c r="AO50" s="45"/>
      <c r="AP50" s="8"/>
      <c r="AQ50" s="8"/>
      <c r="AR50" s="8"/>
      <c r="AS50" s="8"/>
      <c r="AT50" s="45"/>
      <c r="AU50" s="8"/>
      <c r="AV50" s="8"/>
      <c r="AW50" s="8"/>
      <c r="AX50" s="8"/>
      <c r="AY50" s="45"/>
      <c r="AZ50" s="8"/>
      <c r="BA50" s="8"/>
      <c r="BB50" s="8"/>
      <c r="BC50" s="8"/>
      <c r="BD50" s="45"/>
      <c r="BE50" s="8"/>
      <c r="BF50" s="123"/>
      <c r="BG50" s="8"/>
      <c r="BH50" s="8"/>
      <c r="BI50" s="45"/>
      <c r="BJ50" s="8"/>
      <c r="BK50" s="8"/>
    </row>
    <row r="51" spans="1:63" ht="28.5" customHeight="1">
      <c r="A51" s="73"/>
      <c r="B51" s="73"/>
      <c r="C51" s="74"/>
      <c r="D51" s="74"/>
      <c r="E51" s="74"/>
      <c r="F51" s="74"/>
      <c r="G51" s="74"/>
      <c r="H51" s="74"/>
      <c r="I51" s="75"/>
      <c r="J51" s="76"/>
      <c r="U51" s="8"/>
      <c r="V51" s="8"/>
      <c r="W51" s="8"/>
      <c r="X51" s="8"/>
      <c r="Y51" s="45"/>
      <c r="Z51" s="8"/>
      <c r="AA51" s="8"/>
      <c r="AB51" s="8"/>
      <c r="AC51" s="8"/>
      <c r="AD51" s="45"/>
      <c r="AE51" s="8"/>
      <c r="AF51" s="8"/>
      <c r="AG51" s="8"/>
      <c r="AH51" s="8"/>
      <c r="AI51" s="45"/>
      <c r="AJ51" s="8"/>
      <c r="AK51" s="123"/>
      <c r="AL51" s="20"/>
      <c r="AM51" s="8"/>
      <c r="AN51" s="8"/>
      <c r="AO51" s="45"/>
      <c r="AP51" s="8"/>
      <c r="AQ51" s="8"/>
      <c r="AR51" s="8"/>
      <c r="AS51" s="8"/>
      <c r="AT51" s="45"/>
      <c r="AU51" s="8"/>
      <c r="AV51" s="8"/>
      <c r="AW51" s="8"/>
      <c r="AX51" s="8"/>
      <c r="AY51" s="45"/>
      <c r="AZ51" s="8"/>
      <c r="BA51" s="8"/>
      <c r="BB51" s="8"/>
      <c r="BC51" s="8"/>
      <c r="BD51" s="45"/>
      <c r="BE51" s="8"/>
      <c r="BF51" s="123"/>
      <c r="BG51" s="8"/>
      <c r="BH51" s="8"/>
      <c r="BI51" s="45"/>
      <c r="BJ51" s="8"/>
      <c r="BK51" s="8"/>
    </row>
    <row r="52" spans="1:63" ht="28.5" customHeight="1">
      <c r="A52" s="73"/>
      <c r="B52" s="73"/>
      <c r="C52" s="74"/>
      <c r="D52" s="74"/>
      <c r="E52" s="74"/>
      <c r="F52" s="74"/>
      <c r="G52" s="74"/>
      <c r="H52" s="74"/>
      <c r="I52" s="75"/>
      <c r="J52" s="76"/>
      <c r="U52" s="8"/>
      <c r="V52" s="8"/>
      <c r="W52" s="8"/>
      <c r="X52" s="8"/>
      <c r="Y52" s="45"/>
      <c r="Z52" s="8"/>
      <c r="AA52" s="8"/>
      <c r="AB52" s="8"/>
      <c r="AC52" s="8"/>
      <c r="AD52" s="45"/>
      <c r="AE52" s="8"/>
      <c r="AF52" s="8"/>
      <c r="AG52" s="8"/>
      <c r="AH52" s="8"/>
      <c r="AI52" s="45"/>
      <c r="AJ52" s="8"/>
      <c r="AK52" s="123"/>
      <c r="AL52" s="20"/>
      <c r="AM52" s="8"/>
      <c r="AN52" s="8"/>
      <c r="AO52" s="45"/>
      <c r="AP52" s="8"/>
      <c r="AQ52" s="8"/>
      <c r="AR52" s="8"/>
      <c r="AS52" s="8"/>
      <c r="AT52" s="45"/>
      <c r="AU52" s="8"/>
      <c r="AV52" s="8"/>
      <c r="AW52" s="8"/>
      <c r="AX52" s="8"/>
      <c r="AY52" s="45"/>
      <c r="AZ52" s="8"/>
      <c r="BA52" s="8"/>
      <c r="BB52" s="8"/>
      <c r="BC52" s="8"/>
      <c r="BD52" s="45"/>
      <c r="BE52" s="8"/>
      <c r="BF52" s="123"/>
      <c r="BG52" s="8"/>
      <c r="BH52" s="8"/>
      <c r="BI52" s="45"/>
      <c r="BJ52" s="8"/>
      <c r="BK52" s="8"/>
    </row>
    <row r="53" spans="1:63" ht="28.5" customHeight="1">
      <c r="A53" s="73"/>
      <c r="B53" s="73"/>
      <c r="C53" s="74"/>
      <c r="D53" s="74"/>
      <c r="E53" s="74"/>
      <c r="F53" s="74"/>
      <c r="G53" s="74"/>
      <c r="H53" s="74"/>
      <c r="I53" s="75"/>
      <c r="J53" s="76"/>
      <c r="AL53" s="20"/>
    </row>
    <row r="54" spans="1:63" ht="28.5" customHeight="1">
      <c r="AL54" s="20"/>
    </row>
    <row r="55" spans="1:63" ht="28.5" customHeight="1">
      <c r="AL55" s="20"/>
    </row>
    <row r="56" spans="1:63" ht="28.5" customHeight="1">
      <c r="AL56" s="20"/>
    </row>
  </sheetData>
  <customSheetViews>
    <customSheetView guid="{ED9E521F-BC9B-4E88-8A9F-5288A046401B}" scale="115" showPageBreaks="1" showGridLines="0" fitToPage="1" printArea="1" topLeftCell="A22">
      <selection activeCell="J37" sqref="J37"/>
      <pageMargins left="0.70866141732283472" right="0.70866141732283472" top="0.74803149606299213" bottom="0.74803149606299213" header="0.31496062992125984" footer="0.31496062992125984"/>
      <pageSetup paperSize="9" scale="47" orientation="landscape" r:id="rId1"/>
    </customSheetView>
    <customSheetView guid="{634BFE77-A2AA-4FA6-8ED5-F02244B9F10C}" showPageBreaks="1" showGridLines="0" fitToPage="1" printArea="1" hiddenColumns="1">
      <pane xSplit="31" ySplit="4" topLeftCell="BA5" activePane="bottomRight" state="frozen"/>
      <selection pane="bottomRight" activeCell="BH6" sqref="BH6:BH9"/>
      <pageMargins left="0.70866141732283472" right="0.70866141732283472" top="0.74803149606299213" bottom="0.74803149606299213" header="0.31496062992125984" footer="0.31496062992125984"/>
      <pageSetup paperSize="9" scale="50" orientation="landscape"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80" showPageBreaks="1" showGridLines="0" fitToPage="1" printArea="1" hiddenColumns="1">
      <pane xSplit="31" ySplit="4" topLeftCell="BG24" activePane="bottomRight" state="frozen"/>
      <selection pane="bottomRight" activeCell="BG27" sqref="BG27:BH27"/>
      <pageMargins left="0.70866141732283472" right="0.70866141732283472" top="0.74803149606299213" bottom="0.74803149606299213" header="0.31496062992125984" footer="0.31496062992125984"/>
      <pageSetup paperSize="9" scale="49" orientation="landscape" r:id="rId3"/>
    </customSheetView>
    <customSheetView guid="{B87BD74C-18F3-4393-BF03-31B25889E08F}" scale="85" showGridLines="0" fitToPage="1" hiddenColumns="1">
      <pane xSplit="31" ySplit="4" topLeftCell="BD11" activePane="bottomRight" state="frozen"/>
      <selection pane="bottomRight" activeCell="BG29" sqref="BG29"/>
      <pageMargins left="0.70866141732283472" right="0.70866141732283472" top="0.74803149606299213" bottom="0.74803149606299213" header="0.31496062992125984" footer="0.31496062992125984"/>
      <pageSetup paperSize="9" scale="50" orientation="landscape" r:id="rId4"/>
    </customSheetView>
  </customSheetViews>
  <mergeCells count="2905">
    <mergeCell ref="BN37:CD37"/>
    <mergeCell ref="CE37:CU37"/>
    <mergeCell ref="CV37:DL37"/>
    <mergeCell ref="DM37:EC37"/>
    <mergeCell ref="ED37:ET37"/>
    <mergeCell ref="S37:AG37"/>
    <mergeCell ref="AX37:BM37"/>
    <mergeCell ref="AM2:AQ2"/>
    <mergeCell ref="AG2:AK2"/>
    <mergeCell ref="A42:N42"/>
    <mergeCell ref="C2:G2"/>
    <mergeCell ref="H2:L2"/>
    <mergeCell ref="M2:Q2"/>
    <mergeCell ref="AB2:AF2"/>
    <mergeCell ref="R2:V2"/>
    <mergeCell ref="W2:AA2"/>
    <mergeCell ref="S38:AG38"/>
    <mergeCell ref="AR2:AV2"/>
    <mergeCell ref="AW2:BA2"/>
    <mergeCell ref="BB2:BF2"/>
    <mergeCell ref="AG3:AK3"/>
    <mergeCell ref="AM3:AQ3"/>
    <mergeCell ref="AR3:AV3"/>
    <mergeCell ref="AW3:BA3"/>
    <mergeCell ref="BB3:BF3"/>
    <mergeCell ref="BG2:BK2"/>
    <mergeCell ref="BG3:BK3"/>
    <mergeCell ref="OP37:PF37"/>
    <mergeCell ref="PG37:PW37"/>
    <mergeCell ref="PX37:QN37"/>
    <mergeCell ref="QO37:RE37"/>
    <mergeCell ref="RF37:RV37"/>
    <mergeCell ref="LI37:LY37"/>
    <mergeCell ref="LZ37:MP37"/>
    <mergeCell ref="MQ37:NG37"/>
    <mergeCell ref="NH37:NX37"/>
    <mergeCell ref="NY37:OO37"/>
    <mergeCell ref="IB37:IR37"/>
    <mergeCell ref="IS37:JI37"/>
    <mergeCell ref="JJ37:JZ37"/>
    <mergeCell ref="KA37:KQ37"/>
    <mergeCell ref="KR37:LH37"/>
    <mergeCell ref="EU37:FK37"/>
    <mergeCell ref="FL37:GB37"/>
    <mergeCell ref="GC37:GS37"/>
    <mergeCell ref="GT37:HJ37"/>
    <mergeCell ref="HK37:IA37"/>
    <mergeCell ref="ABR37:ACH37"/>
    <mergeCell ref="ACI37:ACY37"/>
    <mergeCell ref="ACZ37:ADP37"/>
    <mergeCell ref="ADQ37:AEG37"/>
    <mergeCell ref="AEH37:AEX37"/>
    <mergeCell ref="YK37:ZA37"/>
    <mergeCell ref="ZB37:ZR37"/>
    <mergeCell ref="ZS37:AAI37"/>
    <mergeCell ref="AAJ37:AAZ37"/>
    <mergeCell ref="ABA37:ABQ37"/>
    <mergeCell ref="VD37:VT37"/>
    <mergeCell ref="VU37:WK37"/>
    <mergeCell ref="WL37:XB37"/>
    <mergeCell ref="XC37:XS37"/>
    <mergeCell ref="XT37:YJ37"/>
    <mergeCell ref="RW37:SM37"/>
    <mergeCell ref="SN37:TD37"/>
    <mergeCell ref="TE37:TU37"/>
    <mergeCell ref="TV37:UL37"/>
    <mergeCell ref="UM37:VC37"/>
    <mergeCell ref="AOT37:APJ37"/>
    <mergeCell ref="APK37:AQA37"/>
    <mergeCell ref="AQB37:AQR37"/>
    <mergeCell ref="AQS37:ARI37"/>
    <mergeCell ref="ARJ37:ARZ37"/>
    <mergeCell ref="ALM37:AMC37"/>
    <mergeCell ref="AMD37:AMT37"/>
    <mergeCell ref="AMU37:ANK37"/>
    <mergeCell ref="ANL37:AOB37"/>
    <mergeCell ref="AOC37:AOS37"/>
    <mergeCell ref="AIF37:AIV37"/>
    <mergeCell ref="AIW37:AJM37"/>
    <mergeCell ref="AJN37:AKD37"/>
    <mergeCell ref="AKE37:AKU37"/>
    <mergeCell ref="AKV37:ALL37"/>
    <mergeCell ref="AEY37:AFO37"/>
    <mergeCell ref="AFP37:AGF37"/>
    <mergeCell ref="AGG37:AGW37"/>
    <mergeCell ref="AGX37:AHN37"/>
    <mergeCell ref="AHO37:AIE37"/>
    <mergeCell ref="BBV37:BCL37"/>
    <mergeCell ref="BCM37:BDC37"/>
    <mergeCell ref="BDD37:BDT37"/>
    <mergeCell ref="BDU37:BEK37"/>
    <mergeCell ref="BEL37:BFB37"/>
    <mergeCell ref="AYO37:AZE37"/>
    <mergeCell ref="AZF37:AZV37"/>
    <mergeCell ref="AZW37:BAM37"/>
    <mergeCell ref="BAN37:BBD37"/>
    <mergeCell ref="BBE37:BBU37"/>
    <mergeCell ref="AVH37:AVX37"/>
    <mergeCell ref="AVY37:AWO37"/>
    <mergeCell ref="AWP37:AXF37"/>
    <mergeCell ref="AXG37:AXW37"/>
    <mergeCell ref="AXX37:AYN37"/>
    <mergeCell ref="ASA37:ASQ37"/>
    <mergeCell ref="ASR37:ATH37"/>
    <mergeCell ref="ATI37:ATY37"/>
    <mergeCell ref="ATZ37:AUP37"/>
    <mergeCell ref="AUQ37:AVG37"/>
    <mergeCell ref="BOX37:BPN37"/>
    <mergeCell ref="BPO37:BQE37"/>
    <mergeCell ref="BQF37:BQV37"/>
    <mergeCell ref="BQW37:BRM37"/>
    <mergeCell ref="BRN37:BSD37"/>
    <mergeCell ref="BLQ37:BMG37"/>
    <mergeCell ref="BMH37:BMX37"/>
    <mergeCell ref="BMY37:BNO37"/>
    <mergeCell ref="BNP37:BOF37"/>
    <mergeCell ref="BOG37:BOW37"/>
    <mergeCell ref="BIJ37:BIZ37"/>
    <mergeCell ref="BJA37:BJQ37"/>
    <mergeCell ref="BJR37:BKH37"/>
    <mergeCell ref="BKI37:BKY37"/>
    <mergeCell ref="BKZ37:BLP37"/>
    <mergeCell ref="BFC37:BFS37"/>
    <mergeCell ref="BFT37:BGJ37"/>
    <mergeCell ref="BGK37:BHA37"/>
    <mergeCell ref="BHB37:BHR37"/>
    <mergeCell ref="BHS37:BII37"/>
    <mergeCell ref="CBZ37:CCP37"/>
    <mergeCell ref="CCQ37:CDG37"/>
    <mergeCell ref="CDH37:CDX37"/>
    <mergeCell ref="CDY37:CEO37"/>
    <mergeCell ref="CEP37:CFF37"/>
    <mergeCell ref="BYS37:BZI37"/>
    <mergeCell ref="BZJ37:BZZ37"/>
    <mergeCell ref="CAA37:CAQ37"/>
    <mergeCell ref="CAR37:CBH37"/>
    <mergeCell ref="CBI37:CBY37"/>
    <mergeCell ref="BVL37:BWB37"/>
    <mergeCell ref="BWC37:BWS37"/>
    <mergeCell ref="BWT37:BXJ37"/>
    <mergeCell ref="BXK37:BYA37"/>
    <mergeCell ref="BYB37:BYR37"/>
    <mergeCell ref="BSE37:BSU37"/>
    <mergeCell ref="BSV37:BTL37"/>
    <mergeCell ref="BTM37:BUC37"/>
    <mergeCell ref="BUD37:BUT37"/>
    <mergeCell ref="BUU37:BVK37"/>
    <mergeCell ref="CPB37:CPR37"/>
    <mergeCell ref="CPS37:CQI37"/>
    <mergeCell ref="CQJ37:CQZ37"/>
    <mergeCell ref="CRA37:CRQ37"/>
    <mergeCell ref="CRR37:CSH37"/>
    <mergeCell ref="CLU37:CMK37"/>
    <mergeCell ref="CML37:CNB37"/>
    <mergeCell ref="CNC37:CNS37"/>
    <mergeCell ref="CNT37:COJ37"/>
    <mergeCell ref="COK37:CPA37"/>
    <mergeCell ref="CIN37:CJD37"/>
    <mergeCell ref="CJE37:CJU37"/>
    <mergeCell ref="CJV37:CKL37"/>
    <mergeCell ref="CKM37:CLC37"/>
    <mergeCell ref="CLD37:CLT37"/>
    <mergeCell ref="CFG37:CFW37"/>
    <mergeCell ref="CFX37:CGN37"/>
    <mergeCell ref="CGO37:CHE37"/>
    <mergeCell ref="CHF37:CHV37"/>
    <mergeCell ref="CHW37:CIM37"/>
    <mergeCell ref="DCD37:DCT37"/>
    <mergeCell ref="DCU37:DDK37"/>
    <mergeCell ref="DDL37:DEB37"/>
    <mergeCell ref="DEC37:DES37"/>
    <mergeCell ref="DET37:DFJ37"/>
    <mergeCell ref="CYW37:CZM37"/>
    <mergeCell ref="CZN37:DAD37"/>
    <mergeCell ref="DAE37:DAU37"/>
    <mergeCell ref="DAV37:DBL37"/>
    <mergeCell ref="DBM37:DCC37"/>
    <mergeCell ref="CVP37:CWF37"/>
    <mergeCell ref="CWG37:CWW37"/>
    <mergeCell ref="CWX37:CXN37"/>
    <mergeCell ref="CXO37:CYE37"/>
    <mergeCell ref="CYF37:CYV37"/>
    <mergeCell ref="CSI37:CSY37"/>
    <mergeCell ref="CSZ37:CTP37"/>
    <mergeCell ref="CTQ37:CUG37"/>
    <mergeCell ref="CUH37:CUX37"/>
    <mergeCell ref="CUY37:CVO37"/>
    <mergeCell ref="DPF37:DPV37"/>
    <mergeCell ref="DPW37:DQM37"/>
    <mergeCell ref="DQN37:DRD37"/>
    <mergeCell ref="DRE37:DRU37"/>
    <mergeCell ref="DRV37:DSL37"/>
    <mergeCell ref="DLY37:DMO37"/>
    <mergeCell ref="DMP37:DNF37"/>
    <mergeCell ref="DNG37:DNW37"/>
    <mergeCell ref="DNX37:DON37"/>
    <mergeCell ref="DOO37:DPE37"/>
    <mergeCell ref="DIR37:DJH37"/>
    <mergeCell ref="DJI37:DJY37"/>
    <mergeCell ref="DJZ37:DKP37"/>
    <mergeCell ref="DKQ37:DLG37"/>
    <mergeCell ref="DLH37:DLX37"/>
    <mergeCell ref="DFK37:DGA37"/>
    <mergeCell ref="DGB37:DGR37"/>
    <mergeCell ref="DGS37:DHI37"/>
    <mergeCell ref="DHJ37:DHZ37"/>
    <mergeCell ref="DIA37:DIQ37"/>
    <mergeCell ref="ECH37:ECX37"/>
    <mergeCell ref="ECY37:EDO37"/>
    <mergeCell ref="EDP37:EEF37"/>
    <mergeCell ref="EEG37:EEW37"/>
    <mergeCell ref="EEX37:EFN37"/>
    <mergeCell ref="DZA37:DZQ37"/>
    <mergeCell ref="DZR37:EAH37"/>
    <mergeCell ref="EAI37:EAY37"/>
    <mergeCell ref="EAZ37:EBP37"/>
    <mergeCell ref="EBQ37:ECG37"/>
    <mergeCell ref="DVT37:DWJ37"/>
    <mergeCell ref="DWK37:DXA37"/>
    <mergeCell ref="DXB37:DXR37"/>
    <mergeCell ref="DXS37:DYI37"/>
    <mergeCell ref="DYJ37:DYZ37"/>
    <mergeCell ref="DSM37:DTC37"/>
    <mergeCell ref="DTD37:DTT37"/>
    <mergeCell ref="DTU37:DUK37"/>
    <mergeCell ref="DUL37:DVB37"/>
    <mergeCell ref="DVC37:DVS37"/>
    <mergeCell ref="EPJ37:EPZ37"/>
    <mergeCell ref="EQA37:EQQ37"/>
    <mergeCell ref="EQR37:ERH37"/>
    <mergeCell ref="ERI37:ERY37"/>
    <mergeCell ref="ERZ37:ESP37"/>
    <mergeCell ref="EMC37:EMS37"/>
    <mergeCell ref="EMT37:ENJ37"/>
    <mergeCell ref="ENK37:EOA37"/>
    <mergeCell ref="EOB37:EOR37"/>
    <mergeCell ref="EOS37:EPI37"/>
    <mergeCell ref="EIV37:EJL37"/>
    <mergeCell ref="EJM37:EKC37"/>
    <mergeCell ref="EKD37:EKT37"/>
    <mergeCell ref="EKU37:ELK37"/>
    <mergeCell ref="ELL37:EMB37"/>
    <mergeCell ref="EFO37:EGE37"/>
    <mergeCell ref="EGF37:EGV37"/>
    <mergeCell ref="EGW37:EHM37"/>
    <mergeCell ref="EHN37:EID37"/>
    <mergeCell ref="EIE37:EIU37"/>
    <mergeCell ref="FCL37:FDB37"/>
    <mergeCell ref="FDC37:FDS37"/>
    <mergeCell ref="FDT37:FEJ37"/>
    <mergeCell ref="FEK37:FFA37"/>
    <mergeCell ref="FFB37:FFR37"/>
    <mergeCell ref="EZE37:EZU37"/>
    <mergeCell ref="EZV37:FAL37"/>
    <mergeCell ref="FAM37:FBC37"/>
    <mergeCell ref="FBD37:FBT37"/>
    <mergeCell ref="FBU37:FCK37"/>
    <mergeCell ref="EVX37:EWN37"/>
    <mergeCell ref="EWO37:EXE37"/>
    <mergeCell ref="EXF37:EXV37"/>
    <mergeCell ref="EXW37:EYM37"/>
    <mergeCell ref="EYN37:EZD37"/>
    <mergeCell ref="ESQ37:ETG37"/>
    <mergeCell ref="ETH37:ETX37"/>
    <mergeCell ref="ETY37:EUO37"/>
    <mergeCell ref="EUP37:EVF37"/>
    <mergeCell ref="EVG37:EVW37"/>
    <mergeCell ref="FPN37:FQD37"/>
    <mergeCell ref="FQE37:FQU37"/>
    <mergeCell ref="FQV37:FRL37"/>
    <mergeCell ref="FRM37:FSC37"/>
    <mergeCell ref="FSD37:FST37"/>
    <mergeCell ref="FMG37:FMW37"/>
    <mergeCell ref="FMX37:FNN37"/>
    <mergeCell ref="FNO37:FOE37"/>
    <mergeCell ref="FOF37:FOV37"/>
    <mergeCell ref="FOW37:FPM37"/>
    <mergeCell ref="FIZ37:FJP37"/>
    <mergeCell ref="FJQ37:FKG37"/>
    <mergeCell ref="FKH37:FKX37"/>
    <mergeCell ref="FKY37:FLO37"/>
    <mergeCell ref="FLP37:FMF37"/>
    <mergeCell ref="FFS37:FGI37"/>
    <mergeCell ref="FGJ37:FGZ37"/>
    <mergeCell ref="FHA37:FHQ37"/>
    <mergeCell ref="FHR37:FIH37"/>
    <mergeCell ref="FII37:FIY37"/>
    <mergeCell ref="GCP37:GDF37"/>
    <mergeCell ref="GDG37:GDW37"/>
    <mergeCell ref="GDX37:GEN37"/>
    <mergeCell ref="GEO37:GFE37"/>
    <mergeCell ref="GFF37:GFV37"/>
    <mergeCell ref="FZI37:FZY37"/>
    <mergeCell ref="FZZ37:GAP37"/>
    <mergeCell ref="GAQ37:GBG37"/>
    <mergeCell ref="GBH37:GBX37"/>
    <mergeCell ref="GBY37:GCO37"/>
    <mergeCell ref="FWB37:FWR37"/>
    <mergeCell ref="FWS37:FXI37"/>
    <mergeCell ref="FXJ37:FXZ37"/>
    <mergeCell ref="FYA37:FYQ37"/>
    <mergeCell ref="FYR37:FZH37"/>
    <mergeCell ref="FSU37:FTK37"/>
    <mergeCell ref="FTL37:FUB37"/>
    <mergeCell ref="FUC37:FUS37"/>
    <mergeCell ref="FUT37:FVJ37"/>
    <mergeCell ref="FVK37:FWA37"/>
    <mergeCell ref="GPR37:GQH37"/>
    <mergeCell ref="GQI37:GQY37"/>
    <mergeCell ref="GQZ37:GRP37"/>
    <mergeCell ref="GRQ37:GSG37"/>
    <mergeCell ref="GSH37:GSX37"/>
    <mergeCell ref="GMK37:GNA37"/>
    <mergeCell ref="GNB37:GNR37"/>
    <mergeCell ref="GNS37:GOI37"/>
    <mergeCell ref="GOJ37:GOZ37"/>
    <mergeCell ref="GPA37:GPQ37"/>
    <mergeCell ref="GJD37:GJT37"/>
    <mergeCell ref="GJU37:GKK37"/>
    <mergeCell ref="GKL37:GLB37"/>
    <mergeCell ref="GLC37:GLS37"/>
    <mergeCell ref="GLT37:GMJ37"/>
    <mergeCell ref="GFW37:GGM37"/>
    <mergeCell ref="GGN37:GHD37"/>
    <mergeCell ref="GHE37:GHU37"/>
    <mergeCell ref="GHV37:GIL37"/>
    <mergeCell ref="GIM37:GJC37"/>
    <mergeCell ref="HCT37:HDJ37"/>
    <mergeCell ref="HDK37:HEA37"/>
    <mergeCell ref="HEB37:HER37"/>
    <mergeCell ref="HES37:HFI37"/>
    <mergeCell ref="HFJ37:HFZ37"/>
    <mergeCell ref="GZM37:HAC37"/>
    <mergeCell ref="HAD37:HAT37"/>
    <mergeCell ref="HAU37:HBK37"/>
    <mergeCell ref="HBL37:HCB37"/>
    <mergeCell ref="HCC37:HCS37"/>
    <mergeCell ref="GWF37:GWV37"/>
    <mergeCell ref="GWW37:GXM37"/>
    <mergeCell ref="GXN37:GYD37"/>
    <mergeCell ref="GYE37:GYU37"/>
    <mergeCell ref="GYV37:GZL37"/>
    <mergeCell ref="GSY37:GTO37"/>
    <mergeCell ref="GTP37:GUF37"/>
    <mergeCell ref="GUG37:GUW37"/>
    <mergeCell ref="GUX37:GVN37"/>
    <mergeCell ref="GVO37:GWE37"/>
    <mergeCell ref="HPV37:HQL37"/>
    <mergeCell ref="HQM37:HRC37"/>
    <mergeCell ref="HRD37:HRT37"/>
    <mergeCell ref="HRU37:HSK37"/>
    <mergeCell ref="HSL37:HTB37"/>
    <mergeCell ref="HMO37:HNE37"/>
    <mergeCell ref="HNF37:HNV37"/>
    <mergeCell ref="HNW37:HOM37"/>
    <mergeCell ref="HON37:HPD37"/>
    <mergeCell ref="HPE37:HPU37"/>
    <mergeCell ref="HJH37:HJX37"/>
    <mergeCell ref="HJY37:HKO37"/>
    <mergeCell ref="HKP37:HLF37"/>
    <mergeCell ref="HLG37:HLW37"/>
    <mergeCell ref="HLX37:HMN37"/>
    <mergeCell ref="HGA37:HGQ37"/>
    <mergeCell ref="HGR37:HHH37"/>
    <mergeCell ref="HHI37:HHY37"/>
    <mergeCell ref="HHZ37:HIP37"/>
    <mergeCell ref="HIQ37:HJG37"/>
    <mergeCell ref="ICX37:IDN37"/>
    <mergeCell ref="IDO37:IEE37"/>
    <mergeCell ref="IEF37:IEV37"/>
    <mergeCell ref="IEW37:IFM37"/>
    <mergeCell ref="IFN37:IGD37"/>
    <mergeCell ref="HZQ37:IAG37"/>
    <mergeCell ref="IAH37:IAX37"/>
    <mergeCell ref="IAY37:IBO37"/>
    <mergeCell ref="IBP37:ICF37"/>
    <mergeCell ref="ICG37:ICW37"/>
    <mergeCell ref="HWJ37:HWZ37"/>
    <mergeCell ref="HXA37:HXQ37"/>
    <mergeCell ref="HXR37:HYH37"/>
    <mergeCell ref="HYI37:HYY37"/>
    <mergeCell ref="HYZ37:HZP37"/>
    <mergeCell ref="HTC37:HTS37"/>
    <mergeCell ref="HTT37:HUJ37"/>
    <mergeCell ref="HUK37:HVA37"/>
    <mergeCell ref="HVB37:HVR37"/>
    <mergeCell ref="HVS37:HWI37"/>
    <mergeCell ref="IPZ37:IQP37"/>
    <mergeCell ref="IQQ37:IRG37"/>
    <mergeCell ref="IRH37:IRX37"/>
    <mergeCell ref="IRY37:ISO37"/>
    <mergeCell ref="ISP37:ITF37"/>
    <mergeCell ref="IMS37:INI37"/>
    <mergeCell ref="INJ37:INZ37"/>
    <mergeCell ref="IOA37:IOQ37"/>
    <mergeCell ref="IOR37:IPH37"/>
    <mergeCell ref="IPI37:IPY37"/>
    <mergeCell ref="IJL37:IKB37"/>
    <mergeCell ref="IKC37:IKS37"/>
    <mergeCell ref="IKT37:ILJ37"/>
    <mergeCell ref="ILK37:IMA37"/>
    <mergeCell ref="IMB37:IMR37"/>
    <mergeCell ref="IGE37:IGU37"/>
    <mergeCell ref="IGV37:IHL37"/>
    <mergeCell ref="IHM37:IIC37"/>
    <mergeCell ref="IID37:IIT37"/>
    <mergeCell ref="IIU37:IJK37"/>
    <mergeCell ref="JDB37:JDR37"/>
    <mergeCell ref="JDS37:JEI37"/>
    <mergeCell ref="JEJ37:JEZ37"/>
    <mergeCell ref="JFA37:JFQ37"/>
    <mergeCell ref="JFR37:JGH37"/>
    <mergeCell ref="IZU37:JAK37"/>
    <mergeCell ref="JAL37:JBB37"/>
    <mergeCell ref="JBC37:JBS37"/>
    <mergeCell ref="JBT37:JCJ37"/>
    <mergeCell ref="JCK37:JDA37"/>
    <mergeCell ref="IWN37:IXD37"/>
    <mergeCell ref="IXE37:IXU37"/>
    <mergeCell ref="IXV37:IYL37"/>
    <mergeCell ref="IYM37:IZC37"/>
    <mergeCell ref="IZD37:IZT37"/>
    <mergeCell ref="ITG37:ITW37"/>
    <mergeCell ref="ITX37:IUN37"/>
    <mergeCell ref="IUO37:IVE37"/>
    <mergeCell ref="IVF37:IVV37"/>
    <mergeCell ref="IVW37:IWM37"/>
    <mergeCell ref="JQD37:JQT37"/>
    <mergeCell ref="JQU37:JRK37"/>
    <mergeCell ref="JRL37:JSB37"/>
    <mergeCell ref="JSC37:JSS37"/>
    <mergeCell ref="JST37:JTJ37"/>
    <mergeCell ref="JMW37:JNM37"/>
    <mergeCell ref="JNN37:JOD37"/>
    <mergeCell ref="JOE37:JOU37"/>
    <mergeCell ref="JOV37:JPL37"/>
    <mergeCell ref="JPM37:JQC37"/>
    <mergeCell ref="JJP37:JKF37"/>
    <mergeCell ref="JKG37:JKW37"/>
    <mergeCell ref="JKX37:JLN37"/>
    <mergeCell ref="JLO37:JME37"/>
    <mergeCell ref="JMF37:JMV37"/>
    <mergeCell ref="JGI37:JGY37"/>
    <mergeCell ref="JGZ37:JHP37"/>
    <mergeCell ref="JHQ37:JIG37"/>
    <mergeCell ref="JIH37:JIX37"/>
    <mergeCell ref="JIY37:JJO37"/>
    <mergeCell ref="KDF37:KDV37"/>
    <mergeCell ref="KDW37:KEM37"/>
    <mergeCell ref="KEN37:KFD37"/>
    <mergeCell ref="KFE37:KFU37"/>
    <mergeCell ref="KFV37:KGL37"/>
    <mergeCell ref="JZY37:KAO37"/>
    <mergeCell ref="KAP37:KBF37"/>
    <mergeCell ref="KBG37:KBW37"/>
    <mergeCell ref="KBX37:KCN37"/>
    <mergeCell ref="KCO37:KDE37"/>
    <mergeCell ref="JWR37:JXH37"/>
    <mergeCell ref="JXI37:JXY37"/>
    <mergeCell ref="JXZ37:JYP37"/>
    <mergeCell ref="JYQ37:JZG37"/>
    <mergeCell ref="JZH37:JZX37"/>
    <mergeCell ref="JTK37:JUA37"/>
    <mergeCell ref="JUB37:JUR37"/>
    <mergeCell ref="JUS37:JVI37"/>
    <mergeCell ref="JVJ37:JVZ37"/>
    <mergeCell ref="JWA37:JWQ37"/>
    <mergeCell ref="KQH37:KQX37"/>
    <mergeCell ref="KQY37:KRO37"/>
    <mergeCell ref="KRP37:KSF37"/>
    <mergeCell ref="KSG37:KSW37"/>
    <mergeCell ref="KSX37:KTN37"/>
    <mergeCell ref="KNA37:KNQ37"/>
    <mergeCell ref="KNR37:KOH37"/>
    <mergeCell ref="KOI37:KOY37"/>
    <mergeCell ref="KOZ37:KPP37"/>
    <mergeCell ref="KPQ37:KQG37"/>
    <mergeCell ref="KJT37:KKJ37"/>
    <mergeCell ref="KKK37:KLA37"/>
    <mergeCell ref="KLB37:KLR37"/>
    <mergeCell ref="KLS37:KMI37"/>
    <mergeCell ref="KMJ37:KMZ37"/>
    <mergeCell ref="KGM37:KHC37"/>
    <mergeCell ref="KHD37:KHT37"/>
    <mergeCell ref="KHU37:KIK37"/>
    <mergeCell ref="KIL37:KJB37"/>
    <mergeCell ref="KJC37:KJS37"/>
    <mergeCell ref="LDJ37:LDZ37"/>
    <mergeCell ref="LEA37:LEQ37"/>
    <mergeCell ref="LER37:LFH37"/>
    <mergeCell ref="LFI37:LFY37"/>
    <mergeCell ref="LFZ37:LGP37"/>
    <mergeCell ref="LAC37:LAS37"/>
    <mergeCell ref="LAT37:LBJ37"/>
    <mergeCell ref="LBK37:LCA37"/>
    <mergeCell ref="LCB37:LCR37"/>
    <mergeCell ref="LCS37:LDI37"/>
    <mergeCell ref="KWV37:KXL37"/>
    <mergeCell ref="KXM37:KYC37"/>
    <mergeCell ref="KYD37:KYT37"/>
    <mergeCell ref="KYU37:KZK37"/>
    <mergeCell ref="KZL37:LAB37"/>
    <mergeCell ref="KTO37:KUE37"/>
    <mergeCell ref="KUF37:KUV37"/>
    <mergeCell ref="KUW37:KVM37"/>
    <mergeCell ref="KVN37:KWD37"/>
    <mergeCell ref="KWE37:KWU37"/>
    <mergeCell ref="LQL37:LRB37"/>
    <mergeCell ref="LRC37:LRS37"/>
    <mergeCell ref="LRT37:LSJ37"/>
    <mergeCell ref="LSK37:LTA37"/>
    <mergeCell ref="LTB37:LTR37"/>
    <mergeCell ref="LNE37:LNU37"/>
    <mergeCell ref="LNV37:LOL37"/>
    <mergeCell ref="LOM37:LPC37"/>
    <mergeCell ref="LPD37:LPT37"/>
    <mergeCell ref="LPU37:LQK37"/>
    <mergeCell ref="LJX37:LKN37"/>
    <mergeCell ref="LKO37:LLE37"/>
    <mergeCell ref="LLF37:LLV37"/>
    <mergeCell ref="LLW37:LMM37"/>
    <mergeCell ref="LMN37:LND37"/>
    <mergeCell ref="LGQ37:LHG37"/>
    <mergeCell ref="LHH37:LHX37"/>
    <mergeCell ref="LHY37:LIO37"/>
    <mergeCell ref="LIP37:LJF37"/>
    <mergeCell ref="LJG37:LJW37"/>
    <mergeCell ref="MDN37:MED37"/>
    <mergeCell ref="MEE37:MEU37"/>
    <mergeCell ref="MEV37:MFL37"/>
    <mergeCell ref="MFM37:MGC37"/>
    <mergeCell ref="MGD37:MGT37"/>
    <mergeCell ref="MAG37:MAW37"/>
    <mergeCell ref="MAX37:MBN37"/>
    <mergeCell ref="MBO37:MCE37"/>
    <mergeCell ref="MCF37:MCV37"/>
    <mergeCell ref="MCW37:MDM37"/>
    <mergeCell ref="LWZ37:LXP37"/>
    <mergeCell ref="LXQ37:LYG37"/>
    <mergeCell ref="LYH37:LYX37"/>
    <mergeCell ref="LYY37:LZO37"/>
    <mergeCell ref="LZP37:MAF37"/>
    <mergeCell ref="LTS37:LUI37"/>
    <mergeCell ref="LUJ37:LUZ37"/>
    <mergeCell ref="LVA37:LVQ37"/>
    <mergeCell ref="LVR37:LWH37"/>
    <mergeCell ref="LWI37:LWY37"/>
    <mergeCell ref="MQP37:MRF37"/>
    <mergeCell ref="MRG37:MRW37"/>
    <mergeCell ref="MRX37:MSN37"/>
    <mergeCell ref="MSO37:MTE37"/>
    <mergeCell ref="MTF37:MTV37"/>
    <mergeCell ref="MNI37:MNY37"/>
    <mergeCell ref="MNZ37:MOP37"/>
    <mergeCell ref="MOQ37:MPG37"/>
    <mergeCell ref="MPH37:MPX37"/>
    <mergeCell ref="MPY37:MQO37"/>
    <mergeCell ref="MKB37:MKR37"/>
    <mergeCell ref="MKS37:MLI37"/>
    <mergeCell ref="MLJ37:MLZ37"/>
    <mergeCell ref="MMA37:MMQ37"/>
    <mergeCell ref="MMR37:MNH37"/>
    <mergeCell ref="MGU37:MHK37"/>
    <mergeCell ref="MHL37:MIB37"/>
    <mergeCell ref="MIC37:MIS37"/>
    <mergeCell ref="MIT37:MJJ37"/>
    <mergeCell ref="MJK37:MKA37"/>
    <mergeCell ref="NDR37:NEH37"/>
    <mergeCell ref="NEI37:NEY37"/>
    <mergeCell ref="NEZ37:NFP37"/>
    <mergeCell ref="NFQ37:NGG37"/>
    <mergeCell ref="NGH37:NGX37"/>
    <mergeCell ref="NAK37:NBA37"/>
    <mergeCell ref="NBB37:NBR37"/>
    <mergeCell ref="NBS37:NCI37"/>
    <mergeCell ref="NCJ37:NCZ37"/>
    <mergeCell ref="NDA37:NDQ37"/>
    <mergeCell ref="MXD37:MXT37"/>
    <mergeCell ref="MXU37:MYK37"/>
    <mergeCell ref="MYL37:MZB37"/>
    <mergeCell ref="MZC37:MZS37"/>
    <mergeCell ref="MZT37:NAJ37"/>
    <mergeCell ref="MTW37:MUM37"/>
    <mergeCell ref="MUN37:MVD37"/>
    <mergeCell ref="MVE37:MVU37"/>
    <mergeCell ref="MVV37:MWL37"/>
    <mergeCell ref="MWM37:MXC37"/>
    <mergeCell ref="NQT37:NRJ37"/>
    <mergeCell ref="NRK37:NSA37"/>
    <mergeCell ref="NSB37:NSR37"/>
    <mergeCell ref="NSS37:NTI37"/>
    <mergeCell ref="NTJ37:NTZ37"/>
    <mergeCell ref="NNM37:NOC37"/>
    <mergeCell ref="NOD37:NOT37"/>
    <mergeCell ref="NOU37:NPK37"/>
    <mergeCell ref="NPL37:NQB37"/>
    <mergeCell ref="NQC37:NQS37"/>
    <mergeCell ref="NKF37:NKV37"/>
    <mergeCell ref="NKW37:NLM37"/>
    <mergeCell ref="NLN37:NMD37"/>
    <mergeCell ref="NME37:NMU37"/>
    <mergeCell ref="NMV37:NNL37"/>
    <mergeCell ref="NGY37:NHO37"/>
    <mergeCell ref="NHP37:NIF37"/>
    <mergeCell ref="NIG37:NIW37"/>
    <mergeCell ref="NIX37:NJN37"/>
    <mergeCell ref="NJO37:NKE37"/>
    <mergeCell ref="ODV37:OEL37"/>
    <mergeCell ref="OEM37:OFC37"/>
    <mergeCell ref="OFD37:OFT37"/>
    <mergeCell ref="OFU37:OGK37"/>
    <mergeCell ref="OGL37:OHB37"/>
    <mergeCell ref="OAO37:OBE37"/>
    <mergeCell ref="OBF37:OBV37"/>
    <mergeCell ref="OBW37:OCM37"/>
    <mergeCell ref="OCN37:ODD37"/>
    <mergeCell ref="ODE37:ODU37"/>
    <mergeCell ref="NXH37:NXX37"/>
    <mergeCell ref="NXY37:NYO37"/>
    <mergeCell ref="NYP37:NZF37"/>
    <mergeCell ref="NZG37:NZW37"/>
    <mergeCell ref="NZX37:OAN37"/>
    <mergeCell ref="NUA37:NUQ37"/>
    <mergeCell ref="NUR37:NVH37"/>
    <mergeCell ref="NVI37:NVY37"/>
    <mergeCell ref="NVZ37:NWP37"/>
    <mergeCell ref="NWQ37:NXG37"/>
    <mergeCell ref="OQX37:ORN37"/>
    <mergeCell ref="ORO37:OSE37"/>
    <mergeCell ref="OSF37:OSV37"/>
    <mergeCell ref="OSW37:OTM37"/>
    <mergeCell ref="OTN37:OUD37"/>
    <mergeCell ref="ONQ37:OOG37"/>
    <mergeCell ref="OOH37:OOX37"/>
    <mergeCell ref="OOY37:OPO37"/>
    <mergeCell ref="OPP37:OQF37"/>
    <mergeCell ref="OQG37:OQW37"/>
    <mergeCell ref="OKJ37:OKZ37"/>
    <mergeCell ref="OLA37:OLQ37"/>
    <mergeCell ref="OLR37:OMH37"/>
    <mergeCell ref="OMI37:OMY37"/>
    <mergeCell ref="OMZ37:ONP37"/>
    <mergeCell ref="OHC37:OHS37"/>
    <mergeCell ref="OHT37:OIJ37"/>
    <mergeCell ref="OIK37:OJA37"/>
    <mergeCell ref="OJB37:OJR37"/>
    <mergeCell ref="OJS37:OKI37"/>
    <mergeCell ref="PDZ37:PEP37"/>
    <mergeCell ref="PEQ37:PFG37"/>
    <mergeCell ref="PFH37:PFX37"/>
    <mergeCell ref="PFY37:PGO37"/>
    <mergeCell ref="PGP37:PHF37"/>
    <mergeCell ref="PAS37:PBI37"/>
    <mergeCell ref="PBJ37:PBZ37"/>
    <mergeCell ref="PCA37:PCQ37"/>
    <mergeCell ref="PCR37:PDH37"/>
    <mergeCell ref="PDI37:PDY37"/>
    <mergeCell ref="OXL37:OYB37"/>
    <mergeCell ref="OYC37:OYS37"/>
    <mergeCell ref="OYT37:OZJ37"/>
    <mergeCell ref="OZK37:PAA37"/>
    <mergeCell ref="PAB37:PAR37"/>
    <mergeCell ref="OUE37:OUU37"/>
    <mergeCell ref="OUV37:OVL37"/>
    <mergeCell ref="OVM37:OWC37"/>
    <mergeCell ref="OWD37:OWT37"/>
    <mergeCell ref="OWU37:OXK37"/>
    <mergeCell ref="PRB37:PRR37"/>
    <mergeCell ref="PRS37:PSI37"/>
    <mergeCell ref="PSJ37:PSZ37"/>
    <mergeCell ref="PTA37:PTQ37"/>
    <mergeCell ref="PTR37:PUH37"/>
    <mergeCell ref="PNU37:POK37"/>
    <mergeCell ref="POL37:PPB37"/>
    <mergeCell ref="PPC37:PPS37"/>
    <mergeCell ref="PPT37:PQJ37"/>
    <mergeCell ref="PQK37:PRA37"/>
    <mergeCell ref="PKN37:PLD37"/>
    <mergeCell ref="PLE37:PLU37"/>
    <mergeCell ref="PLV37:PML37"/>
    <mergeCell ref="PMM37:PNC37"/>
    <mergeCell ref="PND37:PNT37"/>
    <mergeCell ref="PHG37:PHW37"/>
    <mergeCell ref="PHX37:PIN37"/>
    <mergeCell ref="PIO37:PJE37"/>
    <mergeCell ref="PJF37:PJV37"/>
    <mergeCell ref="PJW37:PKM37"/>
    <mergeCell ref="QED37:QET37"/>
    <mergeCell ref="QEU37:QFK37"/>
    <mergeCell ref="QFL37:QGB37"/>
    <mergeCell ref="QGC37:QGS37"/>
    <mergeCell ref="QGT37:QHJ37"/>
    <mergeCell ref="QAW37:QBM37"/>
    <mergeCell ref="QBN37:QCD37"/>
    <mergeCell ref="QCE37:QCU37"/>
    <mergeCell ref="QCV37:QDL37"/>
    <mergeCell ref="QDM37:QEC37"/>
    <mergeCell ref="PXP37:PYF37"/>
    <mergeCell ref="PYG37:PYW37"/>
    <mergeCell ref="PYX37:PZN37"/>
    <mergeCell ref="PZO37:QAE37"/>
    <mergeCell ref="QAF37:QAV37"/>
    <mergeCell ref="PUI37:PUY37"/>
    <mergeCell ref="PUZ37:PVP37"/>
    <mergeCell ref="PVQ37:PWG37"/>
    <mergeCell ref="PWH37:PWX37"/>
    <mergeCell ref="PWY37:PXO37"/>
    <mergeCell ref="QRF37:QRV37"/>
    <mergeCell ref="QRW37:QSM37"/>
    <mergeCell ref="QSN37:QTD37"/>
    <mergeCell ref="QTE37:QTU37"/>
    <mergeCell ref="QTV37:QUL37"/>
    <mergeCell ref="QNY37:QOO37"/>
    <mergeCell ref="QOP37:QPF37"/>
    <mergeCell ref="QPG37:QPW37"/>
    <mergeCell ref="QPX37:QQN37"/>
    <mergeCell ref="QQO37:QRE37"/>
    <mergeCell ref="QKR37:QLH37"/>
    <mergeCell ref="QLI37:QLY37"/>
    <mergeCell ref="QLZ37:QMP37"/>
    <mergeCell ref="QMQ37:QNG37"/>
    <mergeCell ref="QNH37:QNX37"/>
    <mergeCell ref="QHK37:QIA37"/>
    <mergeCell ref="QIB37:QIR37"/>
    <mergeCell ref="QIS37:QJI37"/>
    <mergeCell ref="QJJ37:QJZ37"/>
    <mergeCell ref="QKA37:QKQ37"/>
    <mergeCell ref="REH37:REX37"/>
    <mergeCell ref="REY37:RFO37"/>
    <mergeCell ref="RFP37:RGF37"/>
    <mergeCell ref="RGG37:RGW37"/>
    <mergeCell ref="RGX37:RHN37"/>
    <mergeCell ref="RBA37:RBQ37"/>
    <mergeCell ref="RBR37:RCH37"/>
    <mergeCell ref="RCI37:RCY37"/>
    <mergeCell ref="RCZ37:RDP37"/>
    <mergeCell ref="RDQ37:REG37"/>
    <mergeCell ref="QXT37:QYJ37"/>
    <mergeCell ref="QYK37:QZA37"/>
    <mergeCell ref="QZB37:QZR37"/>
    <mergeCell ref="QZS37:RAI37"/>
    <mergeCell ref="RAJ37:RAZ37"/>
    <mergeCell ref="QUM37:QVC37"/>
    <mergeCell ref="QVD37:QVT37"/>
    <mergeCell ref="QVU37:QWK37"/>
    <mergeCell ref="QWL37:QXB37"/>
    <mergeCell ref="QXC37:QXS37"/>
    <mergeCell ref="RRJ37:RRZ37"/>
    <mergeCell ref="RSA37:RSQ37"/>
    <mergeCell ref="RSR37:RTH37"/>
    <mergeCell ref="RTI37:RTY37"/>
    <mergeCell ref="RTZ37:RUP37"/>
    <mergeCell ref="ROC37:ROS37"/>
    <mergeCell ref="ROT37:RPJ37"/>
    <mergeCell ref="RPK37:RQA37"/>
    <mergeCell ref="RQB37:RQR37"/>
    <mergeCell ref="RQS37:RRI37"/>
    <mergeCell ref="RKV37:RLL37"/>
    <mergeCell ref="RLM37:RMC37"/>
    <mergeCell ref="RMD37:RMT37"/>
    <mergeCell ref="RMU37:RNK37"/>
    <mergeCell ref="RNL37:ROB37"/>
    <mergeCell ref="RHO37:RIE37"/>
    <mergeCell ref="RIF37:RIV37"/>
    <mergeCell ref="RIW37:RJM37"/>
    <mergeCell ref="RJN37:RKD37"/>
    <mergeCell ref="RKE37:RKU37"/>
    <mergeCell ref="SEL37:SFB37"/>
    <mergeCell ref="SFC37:SFS37"/>
    <mergeCell ref="SFT37:SGJ37"/>
    <mergeCell ref="SGK37:SHA37"/>
    <mergeCell ref="SHB37:SHR37"/>
    <mergeCell ref="SBE37:SBU37"/>
    <mergeCell ref="SBV37:SCL37"/>
    <mergeCell ref="SCM37:SDC37"/>
    <mergeCell ref="SDD37:SDT37"/>
    <mergeCell ref="SDU37:SEK37"/>
    <mergeCell ref="RXX37:RYN37"/>
    <mergeCell ref="RYO37:RZE37"/>
    <mergeCell ref="RZF37:RZV37"/>
    <mergeCell ref="RZW37:SAM37"/>
    <mergeCell ref="SAN37:SBD37"/>
    <mergeCell ref="RUQ37:RVG37"/>
    <mergeCell ref="RVH37:RVX37"/>
    <mergeCell ref="RVY37:RWO37"/>
    <mergeCell ref="RWP37:RXF37"/>
    <mergeCell ref="RXG37:RXW37"/>
    <mergeCell ref="SRN37:SSD37"/>
    <mergeCell ref="SSE37:SSU37"/>
    <mergeCell ref="SSV37:STL37"/>
    <mergeCell ref="STM37:SUC37"/>
    <mergeCell ref="SUD37:SUT37"/>
    <mergeCell ref="SOG37:SOW37"/>
    <mergeCell ref="SOX37:SPN37"/>
    <mergeCell ref="SPO37:SQE37"/>
    <mergeCell ref="SQF37:SQV37"/>
    <mergeCell ref="SQW37:SRM37"/>
    <mergeCell ref="SKZ37:SLP37"/>
    <mergeCell ref="SLQ37:SMG37"/>
    <mergeCell ref="SMH37:SMX37"/>
    <mergeCell ref="SMY37:SNO37"/>
    <mergeCell ref="SNP37:SOF37"/>
    <mergeCell ref="SHS37:SII37"/>
    <mergeCell ref="SIJ37:SIZ37"/>
    <mergeCell ref="SJA37:SJQ37"/>
    <mergeCell ref="SJR37:SKH37"/>
    <mergeCell ref="SKI37:SKY37"/>
    <mergeCell ref="TEP37:TFF37"/>
    <mergeCell ref="TFG37:TFW37"/>
    <mergeCell ref="TFX37:TGN37"/>
    <mergeCell ref="TGO37:THE37"/>
    <mergeCell ref="THF37:THV37"/>
    <mergeCell ref="TBI37:TBY37"/>
    <mergeCell ref="TBZ37:TCP37"/>
    <mergeCell ref="TCQ37:TDG37"/>
    <mergeCell ref="TDH37:TDX37"/>
    <mergeCell ref="TDY37:TEO37"/>
    <mergeCell ref="SYB37:SYR37"/>
    <mergeCell ref="SYS37:SZI37"/>
    <mergeCell ref="SZJ37:SZZ37"/>
    <mergeCell ref="TAA37:TAQ37"/>
    <mergeCell ref="TAR37:TBH37"/>
    <mergeCell ref="SUU37:SVK37"/>
    <mergeCell ref="SVL37:SWB37"/>
    <mergeCell ref="SWC37:SWS37"/>
    <mergeCell ref="SWT37:SXJ37"/>
    <mergeCell ref="SXK37:SYA37"/>
    <mergeCell ref="TRR37:TSH37"/>
    <mergeCell ref="TSI37:TSY37"/>
    <mergeCell ref="TSZ37:TTP37"/>
    <mergeCell ref="TTQ37:TUG37"/>
    <mergeCell ref="TUH37:TUX37"/>
    <mergeCell ref="TOK37:TPA37"/>
    <mergeCell ref="TPB37:TPR37"/>
    <mergeCell ref="TPS37:TQI37"/>
    <mergeCell ref="TQJ37:TQZ37"/>
    <mergeCell ref="TRA37:TRQ37"/>
    <mergeCell ref="TLD37:TLT37"/>
    <mergeCell ref="TLU37:TMK37"/>
    <mergeCell ref="TML37:TNB37"/>
    <mergeCell ref="TNC37:TNS37"/>
    <mergeCell ref="TNT37:TOJ37"/>
    <mergeCell ref="THW37:TIM37"/>
    <mergeCell ref="TIN37:TJD37"/>
    <mergeCell ref="TJE37:TJU37"/>
    <mergeCell ref="TJV37:TKL37"/>
    <mergeCell ref="TKM37:TLC37"/>
    <mergeCell ref="UET37:UFJ37"/>
    <mergeCell ref="UFK37:UGA37"/>
    <mergeCell ref="UGB37:UGR37"/>
    <mergeCell ref="UGS37:UHI37"/>
    <mergeCell ref="UHJ37:UHZ37"/>
    <mergeCell ref="UBM37:UCC37"/>
    <mergeCell ref="UCD37:UCT37"/>
    <mergeCell ref="UCU37:UDK37"/>
    <mergeCell ref="UDL37:UEB37"/>
    <mergeCell ref="UEC37:UES37"/>
    <mergeCell ref="TYF37:TYV37"/>
    <mergeCell ref="TYW37:TZM37"/>
    <mergeCell ref="TZN37:UAD37"/>
    <mergeCell ref="UAE37:UAU37"/>
    <mergeCell ref="UAV37:UBL37"/>
    <mergeCell ref="TUY37:TVO37"/>
    <mergeCell ref="TVP37:TWF37"/>
    <mergeCell ref="TWG37:TWW37"/>
    <mergeCell ref="TWX37:TXN37"/>
    <mergeCell ref="TXO37:TYE37"/>
    <mergeCell ref="URV37:USL37"/>
    <mergeCell ref="USM37:UTC37"/>
    <mergeCell ref="UTD37:UTT37"/>
    <mergeCell ref="UTU37:UUK37"/>
    <mergeCell ref="UUL37:UVB37"/>
    <mergeCell ref="UOO37:UPE37"/>
    <mergeCell ref="UPF37:UPV37"/>
    <mergeCell ref="UPW37:UQM37"/>
    <mergeCell ref="UQN37:URD37"/>
    <mergeCell ref="URE37:URU37"/>
    <mergeCell ref="ULH37:ULX37"/>
    <mergeCell ref="ULY37:UMO37"/>
    <mergeCell ref="UMP37:UNF37"/>
    <mergeCell ref="UNG37:UNW37"/>
    <mergeCell ref="UNX37:UON37"/>
    <mergeCell ref="UIA37:UIQ37"/>
    <mergeCell ref="UIR37:UJH37"/>
    <mergeCell ref="UJI37:UJY37"/>
    <mergeCell ref="UJZ37:UKP37"/>
    <mergeCell ref="UKQ37:ULG37"/>
    <mergeCell ref="VEX37:VFN37"/>
    <mergeCell ref="VFO37:VGE37"/>
    <mergeCell ref="VGF37:VGV37"/>
    <mergeCell ref="VGW37:VHM37"/>
    <mergeCell ref="VHN37:VID37"/>
    <mergeCell ref="VBQ37:VCG37"/>
    <mergeCell ref="VCH37:VCX37"/>
    <mergeCell ref="VCY37:VDO37"/>
    <mergeCell ref="VDP37:VEF37"/>
    <mergeCell ref="VEG37:VEW37"/>
    <mergeCell ref="UYJ37:UYZ37"/>
    <mergeCell ref="UZA37:UZQ37"/>
    <mergeCell ref="UZR37:VAH37"/>
    <mergeCell ref="VAI37:VAY37"/>
    <mergeCell ref="VAZ37:VBP37"/>
    <mergeCell ref="UVC37:UVS37"/>
    <mergeCell ref="UVT37:UWJ37"/>
    <mergeCell ref="UWK37:UXA37"/>
    <mergeCell ref="UXB37:UXR37"/>
    <mergeCell ref="UXS37:UYI37"/>
    <mergeCell ref="VRZ37:VSP37"/>
    <mergeCell ref="VSQ37:VTG37"/>
    <mergeCell ref="VTH37:VTX37"/>
    <mergeCell ref="VTY37:VUO37"/>
    <mergeCell ref="VUP37:VVF37"/>
    <mergeCell ref="VOS37:VPI37"/>
    <mergeCell ref="VPJ37:VPZ37"/>
    <mergeCell ref="VQA37:VQQ37"/>
    <mergeCell ref="VQR37:VRH37"/>
    <mergeCell ref="VRI37:VRY37"/>
    <mergeCell ref="VLL37:VMB37"/>
    <mergeCell ref="VMC37:VMS37"/>
    <mergeCell ref="VMT37:VNJ37"/>
    <mergeCell ref="VNK37:VOA37"/>
    <mergeCell ref="VOB37:VOR37"/>
    <mergeCell ref="VIE37:VIU37"/>
    <mergeCell ref="VIV37:VJL37"/>
    <mergeCell ref="VJM37:VKC37"/>
    <mergeCell ref="VKD37:VKT37"/>
    <mergeCell ref="VKU37:VLK37"/>
    <mergeCell ref="WFB37:WFR37"/>
    <mergeCell ref="WFS37:WGI37"/>
    <mergeCell ref="WGJ37:WGZ37"/>
    <mergeCell ref="WHA37:WHQ37"/>
    <mergeCell ref="WHR37:WIH37"/>
    <mergeCell ref="WBU37:WCK37"/>
    <mergeCell ref="WCL37:WDB37"/>
    <mergeCell ref="WDC37:WDS37"/>
    <mergeCell ref="WDT37:WEJ37"/>
    <mergeCell ref="WEK37:WFA37"/>
    <mergeCell ref="VYN37:VZD37"/>
    <mergeCell ref="VZE37:VZU37"/>
    <mergeCell ref="VZV37:WAL37"/>
    <mergeCell ref="WAM37:WBC37"/>
    <mergeCell ref="WBD37:WBT37"/>
    <mergeCell ref="VVG37:VVW37"/>
    <mergeCell ref="VVX37:VWN37"/>
    <mergeCell ref="VWO37:VXE37"/>
    <mergeCell ref="VXF37:VXV37"/>
    <mergeCell ref="VXW37:VYM37"/>
    <mergeCell ref="XDX37:XEN37"/>
    <mergeCell ref="XEO37:XFA37"/>
    <mergeCell ref="WYR37:WZH37"/>
    <mergeCell ref="WZI37:WZY37"/>
    <mergeCell ref="WZZ37:XAP37"/>
    <mergeCell ref="XAQ37:XBG37"/>
    <mergeCell ref="XBH37:XBX37"/>
    <mergeCell ref="WVK37:WWA37"/>
    <mergeCell ref="WWB37:WWR37"/>
    <mergeCell ref="WWS37:WXI37"/>
    <mergeCell ref="WXJ37:WXZ37"/>
    <mergeCell ref="WYA37:WYQ37"/>
    <mergeCell ref="WSD37:WST37"/>
    <mergeCell ref="WSU37:WTK37"/>
    <mergeCell ref="WTL37:WUB37"/>
    <mergeCell ref="WUC37:WUS37"/>
    <mergeCell ref="WUT37:WVJ37"/>
    <mergeCell ref="GT38:HJ38"/>
    <mergeCell ref="HK38:IA38"/>
    <mergeCell ref="IB38:IR38"/>
    <mergeCell ref="IS38:JI38"/>
    <mergeCell ref="JJ38:JZ38"/>
    <mergeCell ref="DM38:EC38"/>
    <mergeCell ref="ED38:ET38"/>
    <mergeCell ref="EU38:FK38"/>
    <mergeCell ref="FL38:GB38"/>
    <mergeCell ref="GC38:GS38"/>
    <mergeCell ref="AX38:BM38"/>
    <mergeCell ref="BN38:CD38"/>
    <mergeCell ref="CE38:CU38"/>
    <mergeCell ref="CV38:DL38"/>
    <mergeCell ref="XBY37:XCO37"/>
    <mergeCell ref="XCP37:XDF37"/>
    <mergeCell ref="XDG37:XDW37"/>
    <mergeCell ref="WOW37:WPM37"/>
    <mergeCell ref="WPN37:WQD37"/>
    <mergeCell ref="WQE37:WQU37"/>
    <mergeCell ref="WQV37:WRL37"/>
    <mergeCell ref="WRM37:WSC37"/>
    <mergeCell ref="WLP37:WMF37"/>
    <mergeCell ref="WMG37:WMW37"/>
    <mergeCell ref="WMX37:WNN37"/>
    <mergeCell ref="WNO37:WOE37"/>
    <mergeCell ref="WOF37:WOV37"/>
    <mergeCell ref="WII37:WIY37"/>
    <mergeCell ref="WIZ37:WJP37"/>
    <mergeCell ref="WJQ37:WKG37"/>
    <mergeCell ref="WKH37:WKX37"/>
    <mergeCell ref="WKY37:WLO37"/>
    <mergeCell ref="TV38:UL38"/>
    <mergeCell ref="UM38:VC38"/>
    <mergeCell ref="VD38:VT38"/>
    <mergeCell ref="VU38:WK38"/>
    <mergeCell ref="WL38:XB38"/>
    <mergeCell ref="QO38:RE38"/>
    <mergeCell ref="RF38:RV38"/>
    <mergeCell ref="RW38:SM38"/>
    <mergeCell ref="SN38:TD38"/>
    <mergeCell ref="TE38:TU38"/>
    <mergeCell ref="NH38:NX38"/>
    <mergeCell ref="NY38:OO38"/>
    <mergeCell ref="OP38:PF38"/>
    <mergeCell ref="PG38:PW38"/>
    <mergeCell ref="PX38:QN38"/>
    <mergeCell ref="KA38:KQ38"/>
    <mergeCell ref="KR38:LH38"/>
    <mergeCell ref="LI38:LY38"/>
    <mergeCell ref="LZ38:MP38"/>
    <mergeCell ref="MQ38:NG38"/>
    <mergeCell ref="AGX38:AHN38"/>
    <mergeCell ref="AHO38:AIE38"/>
    <mergeCell ref="AIF38:AIV38"/>
    <mergeCell ref="AIW38:AJM38"/>
    <mergeCell ref="AJN38:AKD38"/>
    <mergeCell ref="ADQ38:AEG38"/>
    <mergeCell ref="AEH38:AEX38"/>
    <mergeCell ref="AEY38:AFO38"/>
    <mergeCell ref="AFP38:AGF38"/>
    <mergeCell ref="AGG38:AGW38"/>
    <mergeCell ref="AAJ38:AAZ38"/>
    <mergeCell ref="ABA38:ABQ38"/>
    <mergeCell ref="ABR38:ACH38"/>
    <mergeCell ref="ACI38:ACY38"/>
    <mergeCell ref="ACZ38:ADP38"/>
    <mergeCell ref="XC38:XS38"/>
    <mergeCell ref="XT38:YJ38"/>
    <mergeCell ref="YK38:ZA38"/>
    <mergeCell ref="ZB38:ZR38"/>
    <mergeCell ref="ZS38:AAI38"/>
    <mergeCell ref="ATZ38:AUP38"/>
    <mergeCell ref="AUQ38:AVG38"/>
    <mergeCell ref="AVH38:AVX38"/>
    <mergeCell ref="AVY38:AWO38"/>
    <mergeCell ref="AWP38:AXF38"/>
    <mergeCell ref="AQS38:ARI38"/>
    <mergeCell ref="ARJ38:ARZ38"/>
    <mergeCell ref="ASA38:ASQ38"/>
    <mergeCell ref="ASR38:ATH38"/>
    <mergeCell ref="ATI38:ATY38"/>
    <mergeCell ref="ANL38:AOB38"/>
    <mergeCell ref="AOC38:AOS38"/>
    <mergeCell ref="AOT38:APJ38"/>
    <mergeCell ref="APK38:AQA38"/>
    <mergeCell ref="AQB38:AQR38"/>
    <mergeCell ref="AKE38:AKU38"/>
    <mergeCell ref="AKV38:ALL38"/>
    <mergeCell ref="ALM38:AMC38"/>
    <mergeCell ref="AMD38:AMT38"/>
    <mergeCell ref="AMU38:ANK38"/>
    <mergeCell ref="BHB38:BHR38"/>
    <mergeCell ref="BHS38:BII38"/>
    <mergeCell ref="BIJ38:BIZ38"/>
    <mergeCell ref="BJA38:BJQ38"/>
    <mergeCell ref="BJR38:BKH38"/>
    <mergeCell ref="BDU38:BEK38"/>
    <mergeCell ref="BEL38:BFB38"/>
    <mergeCell ref="BFC38:BFS38"/>
    <mergeCell ref="BFT38:BGJ38"/>
    <mergeCell ref="BGK38:BHA38"/>
    <mergeCell ref="BAN38:BBD38"/>
    <mergeCell ref="BBE38:BBU38"/>
    <mergeCell ref="BBV38:BCL38"/>
    <mergeCell ref="BCM38:BDC38"/>
    <mergeCell ref="BDD38:BDT38"/>
    <mergeCell ref="AXG38:AXW38"/>
    <mergeCell ref="AXX38:AYN38"/>
    <mergeCell ref="AYO38:AZE38"/>
    <mergeCell ref="AZF38:AZV38"/>
    <mergeCell ref="AZW38:BAM38"/>
    <mergeCell ref="BUD38:BUT38"/>
    <mergeCell ref="BUU38:BVK38"/>
    <mergeCell ref="BVL38:BWB38"/>
    <mergeCell ref="BWC38:BWS38"/>
    <mergeCell ref="BWT38:BXJ38"/>
    <mergeCell ref="BQW38:BRM38"/>
    <mergeCell ref="BRN38:BSD38"/>
    <mergeCell ref="BSE38:BSU38"/>
    <mergeCell ref="BSV38:BTL38"/>
    <mergeCell ref="BTM38:BUC38"/>
    <mergeCell ref="BNP38:BOF38"/>
    <mergeCell ref="BOG38:BOW38"/>
    <mergeCell ref="BOX38:BPN38"/>
    <mergeCell ref="BPO38:BQE38"/>
    <mergeCell ref="BQF38:BQV38"/>
    <mergeCell ref="BKI38:BKY38"/>
    <mergeCell ref="BKZ38:BLP38"/>
    <mergeCell ref="BLQ38:BMG38"/>
    <mergeCell ref="BMH38:BMX38"/>
    <mergeCell ref="BMY38:BNO38"/>
    <mergeCell ref="CHF38:CHV38"/>
    <mergeCell ref="CHW38:CIM38"/>
    <mergeCell ref="CIN38:CJD38"/>
    <mergeCell ref="CJE38:CJU38"/>
    <mergeCell ref="CJV38:CKL38"/>
    <mergeCell ref="CDY38:CEO38"/>
    <mergeCell ref="CEP38:CFF38"/>
    <mergeCell ref="CFG38:CFW38"/>
    <mergeCell ref="CFX38:CGN38"/>
    <mergeCell ref="CGO38:CHE38"/>
    <mergeCell ref="CAR38:CBH38"/>
    <mergeCell ref="CBI38:CBY38"/>
    <mergeCell ref="CBZ38:CCP38"/>
    <mergeCell ref="CCQ38:CDG38"/>
    <mergeCell ref="CDH38:CDX38"/>
    <mergeCell ref="BXK38:BYA38"/>
    <mergeCell ref="BYB38:BYR38"/>
    <mergeCell ref="BYS38:BZI38"/>
    <mergeCell ref="BZJ38:BZZ38"/>
    <mergeCell ref="CAA38:CAQ38"/>
    <mergeCell ref="CUH38:CUX38"/>
    <mergeCell ref="CUY38:CVO38"/>
    <mergeCell ref="CVP38:CWF38"/>
    <mergeCell ref="CWG38:CWW38"/>
    <mergeCell ref="CWX38:CXN38"/>
    <mergeCell ref="CRA38:CRQ38"/>
    <mergeCell ref="CRR38:CSH38"/>
    <mergeCell ref="CSI38:CSY38"/>
    <mergeCell ref="CSZ38:CTP38"/>
    <mergeCell ref="CTQ38:CUG38"/>
    <mergeCell ref="CNT38:COJ38"/>
    <mergeCell ref="COK38:CPA38"/>
    <mergeCell ref="CPB38:CPR38"/>
    <mergeCell ref="CPS38:CQI38"/>
    <mergeCell ref="CQJ38:CQZ38"/>
    <mergeCell ref="CKM38:CLC38"/>
    <mergeCell ref="CLD38:CLT38"/>
    <mergeCell ref="CLU38:CMK38"/>
    <mergeCell ref="CML38:CNB38"/>
    <mergeCell ref="CNC38:CNS38"/>
    <mergeCell ref="DHJ38:DHZ38"/>
    <mergeCell ref="DIA38:DIQ38"/>
    <mergeCell ref="DIR38:DJH38"/>
    <mergeCell ref="DJI38:DJY38"/>
    <mergeCell ref="DJZ38:DKP38"/>
    <mergeCell ref="DEC38:DES38"/>
    <mergeCell ref="DET38:DFJ38"/>
    <mergeCell ref="DFK38:DGA38"/>
    <mergeCell ref="DGB38:DGR38"/>
    <mergeCell ref="DGS38:DHI38"/>
    <mergeCell ref="DAV38:DBL38"/>
    <mergeCell ref="DBM38:DCC38"/>
    <mergeCell ref="DCD38:DCT38"/>
    <mergeCell ref="DCU38:DDK38"/>
    <mergeCell ref="DDL38:DEB38"/>
    <mergeCell ref="CXO38:CYE38"/>
    <mergeCell ref="CYF38:CYV38"/>
    <mergeCell ref="CYW38:CZM38"/>
    <mergeCell ref="CZN38:DAD38"/>
    <mergeCell ref="DAE38:DAU38"/>
    <mergeCell ref="DUL38:DVB38"/>
    <mergeCell ref="DVC38:DVS38"/>
    <mergeCell ref="DVT38:DWJ38"/>
    <mergeCell ref="DWK38:DXA38"/>
    <mergeCell ref="DXB38:DXR38"/>
    <mergeCell ref="DRE38:DRU38"/>
    <mergeCell ref="DRV38:DSL38"/>
    <mergeCell ref="DSM38:DTC38"/>
    <mergeCell ref="DTD38:DTT38"/>
    <mergeCell ref="DTU38:DUK38"/>
    <mergeCell ref="DNX38:DON38"/>
    <mergeCell ref="DOO38:DPE38"/>
    <mergeCell ref="DPF38:DPV38"/>
    <mergeCell ref="DPW38:DQM38"/>
    <mergeCell ref="DQN38:DRD38"/>
    <mergeCell ref="DKQ38:DLG38"/>
    <mergeCell ref="DLH38:DLX38"/>
    <mergeCell ref="DLY38:DMO38"/>
    <mergeCell ref="DMP38:DNF38"/>
    <mergeCell ref="DNG38:DNW38"/>
    <mergeCell ref="EHN38:EID38"/>
    <mergeCell ref="EIE38:EIU38"/>
    <mergeCell ref="EIV38:EJL38"/>
    <mergeCell ref="EJM38:EKC38"/>
    <mergeCell ref="EKD38:EKT38"/>
    <mergeCell ref="EEG38:EEW38"/>
    <mergeCell ref="EEX38:EFN38"/>
    <mergeCell ref="EFO38:EGE38"/>
    <mergeCell ref="EGF38:EGV38"/>
    <mergeCell ref="EGW38:EHM38"/>
    <mergeCell ref="EAZ38:EBP38"/>
    <mergeCell ref="EBQ38:ECG38"/>
    <mergeCell ref="ECH38:ECX38"/>
    <mergeCell ref="ECY38:EDO38"/>
    <mergeCell ref="EDP38:EEF38"/>
    <mergeCell ref="DXS38:DYI38"/>
    <mergeCell ref="DYJ38:DYZ38"/>
    <mergeCell ref="DZA38:DZQ38"/>
    <mergeCell ref="DZR38:EAH38"/>
    <mergeCell ref="EAI38:EAY38"/>
    <mergeCell ref="EUP38:EVF38"/>
    <mergeCell ref="EVG38:EVW38"/>
    <mergeCell ref="EVX38:EWN38"/>
    <mergeCell ref="EWO38:EXE38"/>
    <mergeCell ref="EXF38:EXV38"/>
    <mergeCell ref="ERI38:ERY38"/>
    <mergeCell ref="ERZ38:ESP38"/>
    <mergeCell ref="ESQ38:ETG38"/>
    <mergeCell ref="ETH38:ETX38"/>
    <mergeCell ref="ETY38:EUO38"/>
    <mergeCell ref="EOB38:EOR38"/>
    <mergeCell ref="EOS38:EPI38"/>
    <mergeCell ref="EPJ38:EPZ38"/>
    <mergeCell ref="EQA38:EQQ38"/>
    <mergeCell ref="EQR38:ERH38"/>
    <mergeCell ref="EKU38:ELK38"/>
    <mergeCell ref="ELL38:EMB38"/>
    <mergeCell ref="EMC38:EMS38"/>
    <mergeCell ref="EMT38:ENJ38"/>
    <mergeCell ref="ENK38:EOA38"/>
    <mergeCell ref="FHR38:FIH38"/>
    <mergeCell ref="FII38:FIY38"/>
    <mergeCell ref="FIZ38:FJP38"/>
    <mergeCell ref="FJQ38:FKG38"/>
    <mergeCell ref="FKH38:FKX38"/>
    <mergeCell ref="FEK38:FFA38"/>
    <mergeCell ref="FFB38:FFR38"/>
    <mergeCell ref="FFS38:FGI38"/>
    <mergeCell ref="FGJ38:FGZ38"/>
    <mergeCell ref="FHA38:FHQ38"/>
    <mergeCell ref="FBD38:FBT38"/>
    <mergeCell ref="FBU38:FCK38"/>
    <mergeCell ref="FCL38:FDB38"/>
    <mergeCell ref="FDC38:FDS38"/>
    <mergeCell ref="FDT38:FEJ38"/>
    <mergeCell ref="EXW38:EYM38"/>
    <mergeCell ref="EYN38:EZD38"/>
    <mergeCell ref="EZE38:EZU38"/>
    <mergeCell ref="EZV38:FAL38"/>
    <mergeCell ref="FAM38:FBC38"/>
    <mergeCell ref="FUT38:FVJ38"/>
    <mergeCell ref="FVK38:FWA38"/>
    <mergeCell ref="FWB38:FWR38"/>
    <mergeCell ref="FWS38:FXI38"/>
    <mergeCell ref="FXJ38:FXZ38"/>
    <mergeCell ref="FRM38:FSC38"/>
    <mergeCell ref="FSD38:FST38"/>
    <mergeCell ref="FSU38:FTK38"/>
    <mergeCell ref="FTL38:FUB38"/>
    <mergeCell ref="FUC38:FUS38"/>
    <mergeCell ref="FOF38:FOV38"/>
    <mergeCell ref="FOW38:FPM38"/>
    <mergeCell ref="FPN38:FQD38"/>
    <mergeCell ref="FQE38:FQU38"/>
    <mergeCell ref="FQV38:FRL38"/>
    <mergeCell ref="FKY38:FLO38"/>
    <mergeCell ref="FLP38:FMF38"/>
    <mergeCell ref="FMG38:FMW38"/>
    <mergeCell ref="FMX38:FNN38"/>
    <mergeCell ref="FNO38:FOE38"/>
    <mergeCell ref="GHV38:GIL38"/>
    <mergeCell ref="GIM38:GJC38"/>
    <mergeCell ref="GJD38:GJT38"/>
    <mergeCell ref="GJU38:GKK38"/>
    <mergeCell ref="GKL38:GLB38"/>
    <mergeCell ref="GEO38:GFE38"/>
    <mergeCell ref="GFF38:GFV38"/>
    <mergeCell ref="GFW38:GGM38"/>
    <mergeCell ref="GGN38:GHD38"/>
    <mergeCell ref="GHE38:GHU38"/>
    <mergeCell ref="GBH38:GBX38"/>
    <mergeCell ref="GBY38:GCO38"/>
    <mergeCell ref="GCP38:GDF38"/>
    <mergeCell ref="GDG38:GDW38"/>
    <mergeCell ref="GDX38:GEN38"/>
    <mergeCell ref="FYA38:FYQ38"/>
    <mergeCell ref="FYR38:FZH38"/>
    <mergeCell ref="FZI38:FZY38"/>
    <mergeCell ref="FZZ38:GAP38"/>
    <mergeCell ref="GAQ38:GBG38"/>
    <mergeCell ref="GUX38:GVN38"/>
    <mergeCell ref="GVO38:GWE38"/>
    <mergeCell ref="GWF38:GWV38"/>
    <mergeCell ref="GWW38:GXM38"/>
    <mergeCell ref="GXN38:GYD38"/>
    <mergeCell ref="GRQ38:GSG38"/>
    <mergeCell ref="GSH38:GSX38"/>
    <mergeCell ref="GSY38:GTO38"/>
    <mergeCell ref="GTP38:GUF38"/>
    <mergeCell ref="GUG38:GUW38"/>
    <mergeCell ref="GOJ38:GOZ38"/>
    <mergeCell ref="GPA38:GPQ38"/>
    <mergeCell ref="GPR38:GQH38"/>
    <mergeCell ref="GQI38:GQY38"/>
    <mergeCell ref="GQZ38:GRP38"/>
    <mergeCell ref="GLC38:GLS38"/>
    <mergeCell ref="GLT38:GMJ38"/>
    <mergeCell ref="GMK38:GNA38"/>
    <mergeCell ref="GNB38:GNR38"/>
    <mergeCell ref="GNS38:GOI38"/>
    <mergeCell ref="HHZ38:HIP38"/>
    <mergeCell ref="HIQ38:HJG38"/>
    <mergeCell ref="HJH38:HJX38"/>
    <mergeCell ref="HJY38:HKO38"/>
    <mergeCell ref="HKP38:HLF38"/>
    <mergeCell ref="HES38:HFI38"/>
    <mergeCell ref="HFJ38:HFZ38"/>
    <mergeCell ref="HGA38:HGQ38"/>
    <mergeCell ref="HGR38:HHH38"/>
    <mergeCell ref="HHI38:HHY38"/>
    <mergeCell ref="HBL38:HCB38"/>
    <mergeCell ref="HCC38:HCS38"/>
    <mergeCell ref="HCT38:HDJ38"/>
    <mergeCell ref="HDK38:HEA38"/>
    <mergeCell ref="HEB38:HER38"/>
    <mergeCell ref="GYE38:GYU38"/>
    <mergeCell ref="GYV38:GZL38"/>
    <mergeCell ref="GZM38:HAC38"/>
    <mergeCell ref="HAD38:HAT38"/>
    <mergeCell ref="HAU38:HBK38"/>
    <mergeCell ref="HVB38:HVR38"/>
    <mergeCell ref="HVS38:HWI38"/>
    <mergeCell ref="HWJ38:HWZ38"/>
    <mergeCell ref="HXA38:HXQ38"/>
    <mergeCell ref="HXR38:HYH38"/>
    <mergeCell ref="HRU38:HSK38"/>
    <mergeCell ref="HSL38:HTB38"/>
    <mergeCell ref="HTC38:HTS38"/>
    <mergeCell ref="HTT38:HUJ38"/>
    <mergeCell ref="HUK38:HVA38"/>
    <mergeCell ref="HON38:HPD38"/>
    <mergeCell ref="HPE38:HPU38"/>
    <mergeCell ref="HPV38:HQL38"/>
    <mergeCell ref="HQM38:HRC38"/>
    <mergeCell ref="HRD38:HRT38"/>
    <mergeCell ref="HLG38:HLW38"/>
    <mergeCell ref="HLX38:HMN38"/>
    <mergeCell ref="HMO38:HNE38"/>
    <mergeCell ref="HNF38:HNV38"/>
    <mergeCell ref="HNW38:HOM38"/>
    <mergeCell ref="IID38:IIT38"/>
    <mergeCell ref="IIU38:IJK38"/>
    <mergeCell ref="IJL38:IKB38"/>
    <mergeCell ref="IKC38:IKS38"/>
    <mergeCell ref="IKT38:ILJ38"/>
    <mergeCell ref="IEW38:IFM38"/>
    <mergeCell ref="IFN38:IGD38"/>
    <mergeCell ref="IGE38:IGU38"/>
    <mergeCell ref="IGV38:IHL38"/>
    <mergeCell ref="IHM38:IIC38"/>
    <mergeCell ref="IBP38:ICF38"/>
    <mergeCell ref="ICG38:ICW38"/>
    <mergeCell ref="ICX38:IDN38"/>
    <mergeCell ref="IDO38:IEE38"/>
    <mergeCell ref="IEF38:IEV38"/>
    <mergeCell ref="HYI38:HYY38"/>
    <mergeCell ref="HYZ38:HZP38"/>
    <mergeCell ref="HZQ38:IAG38"/>
    <mergeCell ref="IAH38:IAX38"/>
    <mergeCell ref="IAY38:IBO38"/>
    <mergeCell ref="IVF38:IVV38"/>
    <mergeCell ref="IVW38:IWM38"/>
    <mergeCell ref="IWN38:IXD38"/>
    <mergeCell ref="IXE38:IXU38"/>
    <mergeCell ref="IXV38:IYL38"/>
    <mergeCell ref="IRY38:ISO38"/>
    <mergeCell ref="ISP38:ITF38"/>
    <mergeCell ref="ITG38:ITW38"/>
    <mergeCell ref="ITX38:IUN38"/>
    <mergeCell ref="IUO38:IVE38"/>
    <mergeCell ref="IOR38:IPH38"/>
    <mergeCell ref="IPI38:IPY38"/>
    <mergeCell ref="IPZ38:IQP38"/>
    <mergeCell ref="IQQ38:IRG38"/>
    <mergeCell ref="IRH38:IRX38"/>
    <mergeCell ref="ILK38:IMA38"/>
    <mergeCell ref="IMB38:IMR38"/>
    <mergeCell ref="IMS38:INI38"/>
    <mergeCell ref="INJ38:INZ38"/>
    <mergeCell ref="IOA38:IOQ38"/>
    <mergeCell ref="JIH38:JIX38"/>
    <mergeCell ref="JIY38:JJO38"/>
    <mergeCell ref="JJP38:JKF38"/>
    <mergeCell ref="JKG38:JKW38"/>
    <mergeCell ref="JKX38:JLN38"/>
    <mergeCell ref="JFA38:JFQ38"/>
    <mergeCell ref="JFR38:JGH38"/>
    <mergeCell ref="JGI38:JGY38"/>
    <mergeCell ref="JGZ38:JHP38"/>
    <mergeCell ref="JHQ38:JIG38"/>
    <mergeCell ref="JBT38:JCJ38"/>
    <mergeCell ref="JCK38:JDA38"/>
    <mergeCell ref="JDB38:JDR38"/>
    <mergeCell ref="JDS38:JEI38"/>
    <mergeCell ref="JEJ38:JEZ38"/>
    <mergeCell ref="IYM38:IZC38"/>
    <mergeCell ref="IZD38:IZT38"/>
    <mergeCell ref="IZU38:JAK38"/>
    <mergeCell ref="JAL38:JBB38"/>
    <mergeCell ref="JBC38:JBS38"/>
    <mergeCell ref="JVJ38:JVZ38"/>
    <mergeCell ref="JWA38:JWQ38"/>
    <mergeCell ref="JWR38:JXH38"/>
    <mergeCell ref="JXI38:JXY38"/>
    <mergeCell ref="JXZ38:JYP38"/>
    <mergeCell ref="JSC38:JSS38"/>
    <mergeCell ref="JST38:JTJ38"/>
    <mergeCell ref="JTK38:JUA38"/>
    <mergeCell ref="JUB38:JUR38"/>
    <mergeCell ref="JUS38:JVI38"/>
    <mergeCell ref="JOV38:JPL38"/>
    <mergeCell ref="JPM38:JQC38"/>
    <mergeCell ref="JQD38:JQT38"/>
    <mergeCell ref="JQU38:JRK38"/>
    <mergeCell ref="JRL38:JSB38"/>
    <mergeCell ref="JLO38:JME38"/>
    <mergeCell ref="JMF38:JMV38"/>
    <mergeCell ref="JMW38:JNM38"/>
    <mergeCell ref="JNN38:JOD38"/>
    <mergeCell ref="JOE38:JOU38"/>
    <mergeCell ref="KIL38:KJB38"/>
    <mergeCell ref="KJC38:KJS38"/>
    <mergeCell ref="KJT38:KKJ38"/>
    <mergeCell ref="KKK38:KLA38"/>
    <mergeCell ref="KLB38:KLR38"/>
    <mergeCell ref="KFE38:KFU38"/>
    <mergeCell ref="KFV38:KGL38"/>
    <mergeCell ref="KGM38:KHC38"/>
    <mergeCell ref="KHD38:KHT38"/>
    <mergeCell ref="KHU38:KIK38"/>
    <mergeCell ref="KBX38:KCN38"/>
    <mergeCell ref="KCO38:KDE38"/>
    <mergeCell ref="KDF38:KDV38"/>
    <mergeCell ref="KDW38:KEM38"/>
    <mergeCell ref="KEN38:KFD38"/>
    <mergeCell ref="JYQ38:JZG38"/>
    <mergeCell ref="JZH38:JZX38"/>
    <mergeCell ref="JZY38:KAO38"/>
    <mergeCell ref="KAP38:KBF38"/>
    <mergeCell ref="KBG38:KBW38"/>
    <mergeCell ref="KVN38:KWD38"/>
    <mergeCell ref="KWE38:KWU38"/>
    <mergeCell ref="KWV38:KXL38"/>
    <mergeCell ref="KXM38:KYC38"/>
    <mergeCell ref="KYD38:KYT38"/>
    <mergeCell ref="KSG38:KSW38"/>
    <mergeCell ref="KSX38:KTN38"/>
    <mergeCell ref="KTO38:KUE38"/>
    <mergeCell ref="KUF38:KUV38"/>
    <mergeCell ref="KUW38:KVM38"/>
    <mergeCell ref="KOZ38:KPP38"/>
    <mergeCell ref="KPQ38:KQG38"/>
    <mergeCell ref="KQH38:KQX38"/>
    <mergeCell ref="KQY38:KRO38"/>
    <mergeCell ref="KRP38:KSF38"/>
    <mergeCell ref="KLS38:KMI38"/>
    <mergeCell ref="KMJ38:KMZ38"/>
    <mergeCell ref="KNA38:KNQ38"/>
    <mergeCell ref="KNR38:KOH38"/>
    <mergeCell ref="KOI38:KOY38"/>
    <mergeCell ref="LIP38:LJF38"/>
    <mergeCell ref="LJG38:LJW38"/>
    <mergeCell ref="LJX38:LKN38"/>
    <mergeCell ref="LKO38:LLE38"/>
    <mergeCell ref="LLF38:LLV38"/>
    <mergeCell ref="LFI38:LFY38"/>
    <mergeCell ref="LFZ38:LGP38"/>
    <mergeCell ref="LGQ38:LHG38"/>
    <mergeCell ref="LHH38:LHX38"/>
    <mergeCell ref="LHY38:LIO38"/>
    <mergeCell ref="LCB38:LCR38"/>
    <mergeCell ref="LCS38:LDI38"/>
    <mergeCell ref="LDJ38:LDZ38"/>
    <mergeCell ref="LEA38:LEQ38"/>
    <mergeCell ref="LER38:LFH38"/>
    <mergeCell ref="KYU38:KZK38"/>
    <mergeCell ref="KZL38:LAB38"/>
    <mergeCell ref="LAC38:LAS38"/>
    <mergeCell ref="LAT38:LBJ38"/>
    <mergeCell ref="LBK38:LCA38"/>
    <mergeCell ref="LVR38:LWH38"/>
    <mergeCell ref="LWI38:LWY38"/>
    <mergeCell ref="LWZ38:LXP38"/>
    <mergeCell ref="LXQ38:LYG38"/>
    <mergeCell ref="LYH38:LYX38"/>
    <mergeCell ref="LSK38:LTA38"/>
    <mergeCell ref="LTB38:LTR38"/>
    <mergeCell ref="LTS38:LUI38"/>
    <mergeCell ref="LUJ38:LUZ38"/>
    <mergeCell ref="LVA38:LVQ38"/>
    <mergeCell ref="LPD38:LPT38"/>
    <mergeCell ref="LPU38:LQK38"/>
    <mergeCell ref="LQL38:LRB38"/>
    <mergeCell ref="LRC38:LRS38"/>
    <mergeCell ref="LRT38:LSJ38"/>
    <mergeCell ref="LLW38:LMM38"/>
    <mergeCell ref="LMN38:LND38"/>
    <mergeCell ref="LNE38:LNU38"/>
    <mergeCell ref="LNV38:LOL38"/>
    <mergeCell ref="LOM38:LPC38"/>
    <mergeCell ref="MIT38:MJJ38"/>
    <mergeCell ref="MJK38:MKA38"/>
    <mergeCell ref="MKB38:MKR38"/>
    <mergeCell ref="MKS38:MLI38"/>
    <mergeCell ref="MLJ38:MLZ38"/>
    <mergeCell ref="MFM38:MGC38"/>
    <mergeCell ref="MGD38:MGT38"/>
    <mergeCell ref="MGU38:MHK38"/>
    <mergeCell ref="MHL38:MIB38"/>
    <mergeCell ref="MIC38:MIS38"/>
    <mergeCell ref="MCF38:MCV38"/>
    <mergeCell ref="MCW38:MDM38"/>
    <mergeCell ref="MDN38:MED38"/>
    <mergeCell ref="MEE38:MEU38"/>
    <mergeCell ref="MEV38:MFL38"/>
    <mergeCell ref="LYY38:LZO38"/>
    <mergeCell ref="LZP38:MAF38"/>
    <mergeCell ref="MAG38:MAW38"/>
    <mergeCell ref="MAX38:MBN38"/>
    <mergeCell ref="MBO38:MCE38"/>
    <mergeCell ref="MVV38:MWL38"/>
    <mergeCell ref="MWM38:MXC38"/>
    <mergeCell ref="MXD38:MXT38"/>
    <mergeCell ref="MXU38:MYK38"/>
    <mergeCell ref="MYL38:MZB38"/>
    <mergeCell ref="MSO38:MTE38"/>
    <mergeCell ref="MTF38:MTV38"/>
    <mergeCell ref="MTW38:MUM38"/>
    <mergeCell ref="MUN38:MVD38"/>
    <mergeCell ref="MVE38:MVU38"/>
    <mergeCell ref="MPH38:MPX38"/>
    <mergeCell ref="MPY38:MQO38"/>
    <mergeCell ref="MQP38:MRF38"/>
    <mergeCell ref="MRG38:MRW38"/>
    <mergeCell ref="MRX38:MSN38"/>
    <mergeCell ref="MMA38:MMQ38"/>
    <mergeCell ref="MMR38:MNH38"/>
    <mergeCell ref="MNI38:MNY38"/>
    <mergeCell ref="MNZ38:MOP38"/>
    <mergeCell ref="MOQ38:MPG38"/>
    <mergeCell ref="NIX38:NJN38"/>
    <mergeCell ref="NJO38:NKE38"/>
    <mergeCell ref="NKF38:NKV38"/>
    <mergeCell ref="NKW38:NLM38"/>
    <mergeCell ref="NLN38:NMD38"/>
    <mergeCell ref="NFQ38:NGG38"/>
    <mergeCell ref="NGH38:NGX38"/>
    <mergeCell ref="NGY38:NHO38"/>
    <mergeCell ref="NHP38:NIF38"/>
    <mergeCell ref="NIG38:NIW38"/>
    <mergeCell ref="NCJ38:NCZ38"/>
    <mergeCell ref="NDA38:NDQ38"/>
    <mergeCell ref="NDR38:NEH38"/>
    <mergeCell ref="NEI38:NEY38"/>
    <mergeCell ref="NEZ38:NFP38"/>
    <mergeCell ref="MZC38:MZS38"/>
    <mergeCell ref="MZT38:NAJ38"/>
    <mergeCell ref="NAK38:NBA38"/>
    <mergeCell ref="NBB38:NBR38"/>
    <mergeCell ref="NBS38:NCI38"/>
    <mergeCell ref="NVZ38:NWP38"/>
    <mergeCell ref="NWQ38:NXG38"/>
    <mergeCell ref="NXH38:NXX38"/>
    <mergeCell ref="NXY38:NYO38"/>
    <mergeCell ref="NYP38:NZF38"/>
    <mergeCell ref="NSS38:NTI38"/>
    <mergeCell ref="NTJ38:NTZ38"/>
    <mergeCell ref="NUA38:NUQ38"/>
    <mergeCell ref="NUR38:NVH38"/>
    <mergeCell ref="NVI38:NVY38"/>
    <mergeCell ref="NPL38:NQB38"/>
    <mergeCell ref="NQC38:NQS38"/>
    <mergeCell ref="NQT38:NRJ38"/>
    <mergeCell ref="NRK38:NSA38"/>
    <mergeCell ref="NSB38:NSR38"/>
    <mergeCell ref="NME38:NMU38"/>
    <mergeCell ref="NMV38:NNL38"/>
    <mergeCell ref="NNM38:NOC38"/>
    <mergeCell ref="NOD38:NOT38"/>
    <mergeCell ref="NOU38:NPK38"/>
    <mergeCell ref="OJB38:OJR38"/>
    <mergeCell ref="OJS38:OKI38"/>
    <mergeCell ref="OKJ38:OKZ38"/>
    <mergeCell ref="OLA38:OLQ38"/>
    <mergeCell ref="OLR38:OMH38"/>
    <mergeCell ref="OFU38:OGK38"/>
    <mergeCell ref="OGL38:OHB38"/>
    <mergeCell ref="OHC38:OHS38"/>
    <mergeCell ref="OHT38:OIJ38"/>
    <mergeCell ref="OIK38:OJA38"/>
    <mergeCell ref="OCN38:ODD38"/>
    <mergeCell ref="ODE38:ODU38"/>
    <mergeCell ref="ODV38:OEL38"/>
    <mergeCell ref="OEM38:OFC38"/>
    <mergeCell ref="OFD38:OFT38"/>
    <mergeCell ref="NZG38:NZW38"/>
    <mergeCell ref="NZX38:OAN38"/>
    <mergeCell ref="OAO38:OBE38"/>
    <mergeCell ref="OBF38:OBV38"/>
    <mergeCell ref="OBW38:OCM38"/>
    <mergeCell ref="OWD38:OWT38"/>
    <mergeCell ref="OWU38:OXK38"/>
    <mergeCell ref="OXL38:OYB38"/>
    <mergeCell ref="OYC38:OYS38"/>
    <mergeCell ref="OYT38:OZJ38"/>
    <mergeCell ref="OSW38:OTM38"/>
    <mergeCell ref="OTN38:OUD38"/>
    <mergeCell ref="OUE38:OUU38"/>
    <mergeCell ref="OUV38:OVL38"/>
    <mergeCell ref="OVM38:OWC38"/>
    <mergeCell ref="OPP38:OQF38"/>
    <mergeCell ref="OQG38:OQW38"/>
    <mergeCell ref="OQX38:ORN38"/>
    <mergeCell ref="ORO38:OSE38"/>
    <mergeCell ref="OSF38:OSV38"/>
    <mergeCell ref="OMI38:OMY38"/>
    <mergeCell ref="OMZ38:ONP38"/>
    <mergeCell ref="ONQ38:OOG38"/>
    <mergeCell ref="OOH38:OOX38"/>
    <mergeCell ref="OOY38:OPO38"/>
    <mergeCell ref="PJF38:PJV38"/>
    <mergeCell ref="PJW38:PKM38"/>
    <mergeCell ref="PKN38:PLD38"/>
    <mergeCell ref="PLE38:PLU38"/>
    <mergeCell ref="PLV38:PML38"/>
    <mergeCell ref="PFY38:PGO38"/>
    <mergeCell ref="PGP38:PHF38"/>
    <mergeCell ref="PHG38:PHW38"/>
    <mergeCell ref="PHX38:PIN38"/>
    <mergeCell ref="PIO38:PJE38"/>
    <mergeCell ref="PCR38:PDH38"/>
    <mergeCell ref="PDI38:PDY38"/>
    <mergeCell ref="PDZ38:PEP38"/>
    <mergeCell ref="PEQ38:PFG38"/>
    <mergeCell ref="PFH38:PFX38"/>
    <mergeCell ref="OZK38:PAA38"/>
    <mergeCell ref="PAB38:PAR38"/>
    <mergeCell ref="PAS38:PBI38"/>
    <mergeCell ref="PBJ38:PBZ38"/>
    <mergeCell ref="PCA38:PCQ38"/>
    <mergeCell ref="PWH38:PWX38"/>
    <mergeCell ref="PWY38:PXO38"/>
    <mergeCell ref="PXP38:PYF38"/>
    <mergeCell ref="PYG38:PYW38"/>
    <mergeCell ref="PYX38:PZN38"/>
    <mergeCell ref="PTA38:PTQ38"/>
    <mergeCell ref="PTR38:PUH38"/>
    <mergeCell ref="PUI38:PUY38"/>
    <mergeCell ref="PUZ38:PVP38"/>
    <mergeCell ref="PVQ38:PWG38"/>
    <mergeCell ref="PPT38:PQJ38"/>
    <mergeCell ref="PQK38:PRA38"/>
    <mergeCell ref="PRB38:PRR38"/>
    <mergeCell ref="PRS38:PSI38"/>
    <mergeCell ref="PSJ38:PSZ38"/>
    <mergeCell ref="PMM38:PNC38"/>
    <mergeCell ref="PND38:PNT38"/>
    <mergeCell ref="PNU38:POK38"/>
    <mergeCell ref="POL38:PPB38"/>
    <mergeCell ref="PPC38:PPS38"/>
    <mergeCell ref="QJJ38:QJZ38"/>
    <mergeCell ref="QKA38:QKQ38"/>
    <mergeCell ref="QKR38:QLH38"/>
    <mergeCell ref="QLI38:QLY38"/>
    <mergeCell ref="QLZ38:QMP38"/>
    <mergeCell ref="QGC38:QGS38"/>
    <mergeCell ref="QGT38:QHJ38"/>
    <mergeCell ref="QHK38:QIA38"/>
    <mergeCell ref="QIB38:QIR38"/>
    <mergeCell ref="QIS38:QJI38"/>
    <mergeCell ref="QCV38:QDL38"/>
    <mergeCell ref="QDM38:QEC38"/>
    <mergeCell ref="QED38:QET38"/>
    <mergeCell ref="QEU38:QFK38"/>
    <mergeCell ref="QFL38:QGB38"/>
    <mergeCell ref="PZO38:QAE38"/>
    <mergeCell ref="QAF38:QAV38"/>
    <mergeCell ref="QAW38:QBM38"/>
    <mergeCell ref="QBN38:QCD38"/>
    <mergeCell ref="QCE38:QCU38"/>
    <mergeCell ref="QWL38:QXB38"/>
    <mergeCell ref="QXC38:QXS38"/>
    <mergeCell ref="QXT38:QYJ38"/>
    <mergeCell ref="QYK38:QZA38"/>
    <mergeCell ref="QZB38:QZR38"/>
    <mergeCell ref="QTE38:QTU38"/>
    <mergeCell ref="QTV38:QUL38"/>
    <mergeCell ref="QUM38:QVC38"/>
    <mergeCell ref="QVD38:QVT38"/>
    <mergeCell ref="QVU38:QWK38"/>
    <mergeCell ref="QPX38:QQN38"/>
    <mergeCell ref="QQO38:QRE38"/>
    <mergeCell ref="QRF38:QRV38"/>
    <mergeCell ref="QRW38:QSM38"/>
    <mergeCell ref="QSN38:QTD38"/>
    <mergeCell ref="QMQ38:QNG38"/>
    <mergeCell ref="QNH38:QNX38"/>
    <mergeCell ref="QNY38:QOO38"/>
    <mergeCell ref="QOP38:QPF38"/>
    <mergeCell ref="QPG38:QPW38"/>
    <mergeCell ref="RJN38:RKD38"/>
    <mergeCell ref="RKE38:RKU38"/>
    <mergeCell ref="RKV38:RLL38"/>
    <mergeCell ref="RLM38:RMC38"/>
    <mergeCell ref="RMD38:RMT38"/>
    <mergeCell ref="RGG38:RGW38"/>
    <mergeCell ref="RGX38:RHN38"/>
    <mergeCell ref="RHO38:RIE38"/>
    <mergeCell ref="RIF38:RIV38"/>
    <mergeCell ref="RIW38:RJM38"/>
    <mergeCell ref="RCZ38:RDP38"/>
    <mergeCell ref="RDQ38:REG38"/>
    <mergeCell ref="REH38:REX38"/>
    <mergeCell ref="REY38:RFO38"/>
    <mergeCell ref="RFP38:RGF38"/>
    <mergeCell ref="QZS38:RAI38"/>
    <mergeCell ref="RAJ38:RAZ38"/>
    <mergeCell ref="RBA38:RBQ38"/>
    <mergeCell ref="RBR38:RCH38"/>
    <mergeCell ref="RCI38:RCY38"/>
    <mergeCell ref="RWP38:RXF38"/>
    <mergeCell ref="RXG38:RXW38"/>
    <mergeCell ref="RXX38:RYN38"/>
    <mergeCell ref="RYO38:RZE38"/>
    <mergeCell ref="RZF38:RZV38"/>
    <mergeCell ref="RTI38:RTY38"/>
    <mergeCell ref="RTZ38:RUP38"/>
    <mergeCell ref="RUQ38:RVG38"/>
    <mergeCell ref="RVH38:RVX38"/>
    <mergeCell ref="RVY38:RWO38"/>
    <mergeCell ref="RQB38:RQR38"/>
    <mergeCell ref="RQS38:RRI38"/>
    <mergeCell ref="RRJ38:RRZ38"/>
    <mergeCell ref="RSA38:RSQ38"/>
    <mergeCell ref="RSR38:RTH38"/>
    <mergeCell ref="RMU38:RNK38"/>
    <mergeCell ref="RNL38:ROB38"/>
    <mergeCell ref="ROC38:ROS38"/>
    <mergeCell ref="ROT38:RPJ38"/>
    <mergeCell ref="RPK38:RQA38"/>
    <mergeCell ref="SJR38:SKH38"/>
    <mergeCell ref="SKI38:SKY38"/>
    <mergeCell ref="SKZ38:SLP38"/>
    <mergeCell ref="SLQ38:SMG38"/>
    <mergeCell ref="SMH38:SMX38"/>
    <mergeCell ref="SGK38:SHA38"/>
    <mergeCell ref="SHB38:SHR38"/>
    <mergeCell ref="SHS38:SII38"/>
    <mergeCell ref="SIJ38:SIZ38"/>
    <mergeCell ref="SJA38:SJQ38"/>
    <mergeCell ref="SDD38:SDT38"/>
    <mergeCell ref="SDU38:SEK38"/>
    <mergeCell ref="SEL38:SFB38"/>
    <mergeCell ref="SFC38:SFS38"/>
    <mergeCell ref="SFT38:SGJ38"/>
    <mergeCell ref="RZW38:SAM38"/>
    <mergeCell ref="SAN38:SBD38"/>
    <mergeCell ref="SBE38:SBU38"/>
    <mergeCell ref="SBV38:SCL38"/>
    <mergeCell ref="SCM38:SDC38"/>
    <mergeCell ref="SWT38:SXJ38"/>
    <mergeCell ref="SXK38:SYA38"/>
    <mergeCell ref="SYB38:SYR38"/>
    <mergeCell ref="SYS38:SZI38"/>
    <mergeCell ref="SZJ38:SZZ38"/>
    <mergeCell ref="STM38:SUC38"/>
    <mergeCell ref="SUD38:SUT38"/>
    <mergeCell ref="SUU38:SVK38"/>
    <mergeCell ref="SVL38:SWB38"/>
    <mergeCell ref="SWC38:SWS38"/>
    <mergeCell ref="SQF38:SQV38"/>
    <mergeCell ref="SQW38:SRM38"/>
    <mergeCell ref="SRN38:SSD38"/>
    <mergeCell ref="SSE38:SSU38"/>
    <mergeCell ref="SSV38:STL38"/>
    <mergeCell ref="SMY38:SNO38"/>
    <mergeCell ref="SNP38:SOF38"/>
    <mergeCell ref="SOG38:SOW38"/>
    <mergeCell ref="SOX38:SPN38"/>
    <mergeCell ref="SPO38:SQE38"/>
    <mergeCell ref="TJV38:TKL38"/>
    <mergeCell ref="TKM38:TLC38"/>
    <mergeCell ref="TLD38:TLT38"/>
    <mergeCell ref="TLU38:TMK38"/>
    <mergeCell ref="TML38:TNB38"/>
    <mergeCell ref="TGO38:THE38"/>
    <mergeCell ref="THF38:THV38"/>
    <mergeCell ref="THW38:TIM38"/>
    <mergeCell ref="TIN38:TJD38"/>
    <mergeCell ref="TJE38:TJU38"/>
    <mergeCell ref="TDH38:TDX38"/>
    <mergeCell ref="TDY38:TEO38"/>
    <mergeCell ref="TEP38:TFF38"/>
    <mergeCell ref="TFG38:TFW38"/>
    <mergeCell ref="TFX38:TGN38"/>
    <mergeCell ref="TAA38:TAQ38"/>
    <mergeCell ref="TAR38:TBH38"/>
    <mergeCell ref="TBI38:TBY38"/>
    <mergeCell ref="TBZ38:TCP38"/>
    <mergeCell ref="TCQ38:TDG38"/>
    <mergeCell ref="TWX38:TXN38"/>
    <mergeCell ref="TXO38:TYE38"/>
    <mergeCell ref="TYF38:TYV38"/>
    <mergeCell ref="TYW38:TZM38"/>
    <mergeCell ref="TZN38:UAD38"/>
    <mergeCell ref="TTQ38:TUG38"/>
    <mergeCell ref="TUH38:TUX38"/>
    <mergeCell ref="TUY38:TVO38"/>
    <mergeCell ref="TVP38:TWF38"/>
    <mergeCell ref="TWG38:TWW38"/>
    <mergeCell ref="TQJ38:TQZ38"/>
    <mergeCell ref="TRA38:TRQ38"/>
    <mergeCell ref="TRR38:TSH38"/>
    <mergeCell ref="TSI38:TSY38"/>
    <mergeCell ref="TSZ38:TTP38"/>
    <mergeCell ref="TNC38:TNS38"/>
    <mergeCell ref="TNT38:TOJ38"/>
    <mergeCell ref="TOK38:TPA38"/>
    <mergeCell ref="TPB38:TPR38"/>
    <mergeCell ref="TPS38:TQI38"/>
    <mergeCell ref="UJZ38:UKP38"/>
    <mergeCell ref="UKQ38:ULG38"/>
    <mergeCell ref="ULH38:ULX38"/>
    <mergeCell ref="ULY38:UMO38"/>
    <mergeCell ref="UMP38:UNF38"/>
    <mergeCell ref="UGS38:UHI38"/>
    <mergeCell ref="UHJ38:UHZ38"/>
    <mergeCell ref="UIA38:UIQ38"/>
    <mergeCell ref="UIR38:UJH38"/>
    <mergeCell ref="UJI38:UJY38"/>
    <mergeCell ref="UDL38:UEB38"/>
    <mergeCell ref="UEC38:UES38"/>
    <mergeCell ref="UET38:UFJ38"/>
    <mergeCell ref="UFK38:UGA38"/>
    <mergeCell ref="UGB38:UGR38"/>
    <mergeCell ref="UAE38:UAU38"/>
    <mergeCell ref="UAV38:UBL38"/>
    <mergeCell ref="UBM38:UCC38"/>
    <mergeCell ref="UCD38:UCT38"/>
    <mergeCell ref="UCU38:UDK38"/>
    <mergeCell ref="UXB38:UXR38"/>
    <mergeCell ref="UXS38:UYI38"/>
    <mergeCell ref="UYJ38:UYZ38"/>
    <mergeCell ref="UZA38:UZQ38"/>
    <mergeCell ref="UZR38:VAH38"/>
    <mergeCell ref="UTU38:UUK38"/>
    <mergeCell ref="UUL38:UVB38"/>
    <mergeCell ref="UVC38:UVS38"/>
    <mergeCell ref="UVT38:UWJ38"/>
    <mergeCell ref="UWK38:UXA38"/>
    <mergeCell ref="UQN38:URD38"/>
    <mergeCell ref="URE38:URU38"/>
    <mergeCell ref="URV38:USL38"/>
    <mergeCell ref="USM38:UTC38"/>
    <mergeCell ref="UTD38:UTT38"/>
    <mergeCell ref="UNG38:UNW38"/>
    <mergeCell ref="UNX38:UON38"/>
    <mergeCell ref="UOO38:UPE38"/>
    <mergeCell ref="UPF38:UPV38"/>
    <mergeCell ref="UPW38:UQM38"/>
    <mergeCell ref="VKD38:VKT38"/>
    <mergeCell ref="VKU38:VLK38"/>
    <mergeCell ref="VLL38:VMB38"/>
    <mergeCell ref="VMC38:VMS38"/>
    <mergeCell ref="VMT38:VNJ38"/>
    <mergeCell ref="VGW38:VHM38"/>
    <mergeCell ref="VHN38:VID38"/>
    <mergeCell ref="VIE38:VIU38"/>
    <mergeCell ref="VIV38:VJL38"/>
    <mergeCell ref="VJM38:VKC38"/>
    <mergeCell ref="VDP38:VEF38"/>
    <mergeCell ref="VEG38:VEW38"/>
    <mergeCell ref="VEX38:VFN38"/>
    <mergeCell ref="VFO38:VGE38"/>
    <mergeCell ref="VGF38:VGV38"/>
    <mergeCell ref="VAI38:VAY38"/>
    <mergeCell ref="VAZ38:VBP38"/>
    <mergeCell ref="VBQ38:VCG38"/>
    <mergeCell ref="VCH38:VCX38"/>
    <mergeCell ref="VCY38:VDO38"/>
    <mergeCell ref="VXF38:VXV38"/>
    <mergeCell ref="VXW38:VYM38"/>
    <mergeCell ref="VYN38:VZD38"/>
    <mergeCell ref="VZE38:VZU38"/>
    <mergeCell ref="VZV38:WAL38"/>
    <mergeCell ref="VTY38:VUO38"/>
    <mergeCell ref="VUP38:VVF38"/>
    <mergeCell ref="VVG38:VVW38"/>
    <mergeCell ref="VVX38:VWN38"/>
    <mergeCell ref="VWO38:VXE38"/>
    <mergeCell ref="VQR38:VRH38"/>
    <mergeCell ref="VRI38:VRY38"/>
    <mergeCell ref="VRZ38:VSP38"/>
    <mergeCell ref="VSQ38:VTG38"/>
    <mergeCell ref="VTH38:VTX38"/>
    <mergeCell ref="VNK38:VOA38"/>
    <mergeCell ref="VOB38:VOR38"/>
    <mergeCell ref="VOS38:VPI38"/>
    <mergeCell ref="VPJ38:VPZ38"/>
    <mergeCell ref="VQA38:VQQ38"/>
    <mergeCell ref="WKH38:WKX38"/>
    <mergeCell ref="WKY38:WLO38"/>
    <mergeCell ref="WLP38:WMF38"/>
    <mergeCell ref="WMG38:WMW38"/>
    <mergeCell ref="WMX38:WNN38"/>
    <mergeCell ref="WHA38:WHQ38"/>
    <mergeCell ref="WHR38:WIH38"/>
    <mergeCell ref="WII38:WIY38"/>
    <mergeCell ref="WIZ38:WJP38"/>
    <mergeCell ref="WJQ38:WKG38"/>
    <mergeCell ref="WDT38:WEJ38"/>
    <mergeCell ref="WEK38:WFA38"/>
    <mergeCell ref="WFB38:WFR38"/>
    <mergeCell ref="WFS38:WGI38"/>
    <mergeCell ref="WGJ38:WGZ38"/>
    <mergeCell ref="WAM38:WBC38"/>
    <mergeCell ref="WBD38:WBT38"/>
    <mergeCell ref="WBU38:WCK38"/>
    <mergeCell ref="WCL38:WDB38"/>
    <mergeCell ref="WDC38:WDS38"/>
    <mergeCell ref="WYR38:WZH38"/>
    <mergeCell ref="WZI38:WZY38"/>
    <mergeCell ref="WZZ38:XAP38"/>
    <mergeCell ref="WUC38:WUS38"/>
    <mergeCell ref="WUT38:WVJ38"/>
    <mergeCell ref="WVK38:WWA38"/>
    <mergeCell ref="WWB38:WWR38"/>
    <mergeCell ref="WWS38:WXI38"/>
    <mergeCell ref="WQV38:WRL38"/>
    <mergeCell ref="WRM38:WSC38"/>
    <mergeCell ref="WSD38:WST38"/>
    <mergeCell ref="WSU38:WTK38"/>
    <mergeCell ref="WTL38:WUB38"/>
    <mergeCell ref="WNO38:WOE38"/>
    <mergeCell ref="WOF38:WOV38"/>
    <mergeCell ref="WOW38:WPM38"/>
    <mergeCell ref="WPN38:WQD38"/>
    <mergeCell ref="WQE38:WQU38"/>
    <mergeCell ref="LI39:LY39"/>
    <mergeCell ref="LZ39:MP39"/>
    <mergeCell ref="MQ39:NG39"/>
    <mergeCell ref="NH39:NX39"/>
    <mergeCell ref="NY39:OO39"/>
    <mergeCell ref="IB39:IR39"/>
    <mergeCell ref="IS39:JI39"/>
    <mergeCell ref="JJ39:JZ39"/>
    <mergeCell ref="KA39:KQ39"/>
    <mergeCell ref="KR39:LH39"/>
    <mergeCell ref="XDX38:XEN38"/>
    <mergeCell ref="XEO38:XFA38"/>
    <mergeCell ref="S39:AG39"/>
    <mergeCell ref="AX39:BM39"/>
    <mergeCell ref="BN39:CD39"/>
    <mergeCell ref="CE39:CU39"/>
    <mergeCell ref="CV39:DL39"/>
    <mergeCell ref="DM39:EC39"/>
    <mergeCell ref="ED39:ET39"/>
    <mergeCell ref="EU39:FK39"/>
    <mergeCell ref="FL39:GB39"/>
    <mergeCell ref="GC39:GS39"/>
    <mergeCell ref="GT39:HJ39"/>
    <mergeCell ref="HK39:IA39"/>
    <mergeCell ref="XAQ38:XBG38"/>
    <mergeCell ref="XBH38:XBX38"/>
    <mergeCell ref="XBY38:XCO38"/>
    <mergeCell ref="XCP38:XDF38"/>
    <mergeCell ref="XDG38:XDW38"/>
    <mergeCell ref="WXJ38:WXZ38"/>
    <mergeCell ref="WYA38:WYQ38"/>
    <mergeCell ref="YK39:ZA39"/>
    <mergeCell ref="ZB39:ZR39"/>
    <mergeCell ref="ZS39:AAI39"/>
    <mergeCell ref="AAJ39:AAZ39"/>
    <mergeCell ref="ABA39:ABQ39"/>
    <mergeCell ref="VD39:VT39"/>
    <mergeCell ref="VU39:WK39"/>
    <mergeCell ref="WL39:XB39"/>
    <mergeCell ref="XC39:XS39"/>
    <mergeCell ref="XT39:YJ39"/>
    <mergeCell ref="RW39:SM39"/>
    <mergeCell ref="SN39:TD39"/>
    <mergeCell ref="TE39:TU39"/>
    <mergeCell ref="TV39:UL39"/>
    <mergeCell ref="UM39:VC39"/>
    <mergeCell ref="OP39:PF39"/>
    <mergeCell ref="PG39:PW39"/>
    <mergeCell ref="PX39:QN39"/>
    <mergeCell ref="QO39:RE39"/>
    <mergeCell ref="RF39:RV39"/>
    <mergeCell ref="ALM39:AMC39"/>
    <mergeCell ref="AMD39:AMT39"/>
    <mergeCell ref="AMU39:ANK39"/>
    <mergeCell ref="ANL39:AOB39"/>
    <mergeCell ref="AOC39:AOS39"/>
    <mergeCell ref="AIF39:AIV39"/>
    <mergeCell ref="AIW39:AJM39"/>
    <mergeCell ref="AJN39:AKD39"/>
    <mergeCell ref="AKE39:AKU39"/>
    <mergeCell ref="AKV39:ALL39"/>
    <mergeCell ref="AEY39:AFO39"/>
    <mergeCell ref="AFP39:AGF39"/>
    <mergeCell ref="AGG39:AGW39"/>
    <mergeCell ref="AGX39:AHN39"/>
    <mergeCell ref="AHO39:AIE39"/>
    <mergeCell ref="ABR39:ACH39"/>
    <mergeCell ref="ACI39:ACY39"/>
    <mergeCell ref="ACZ39:ADP39"/>
    <mergeCell ref="ADQ39:AEG39"/>
    <mergeCell ref="AEH39:AEX39"/>
    <mergeCell ref="AYO39:AZE39"/>
    <mergeCell ref="AZF39:AZV39"/>
    <mergeCell ref="AZW39:BAM39"/>
    <mergeCell ref="BAN39:BBD39"/>
    <mergeCell ref="BBE39:BBU39"/>
    <mergeCell ref="AVH39:AVX39"/>
    <mergeCell ref="AVY39:AWO39"/>
    <mergeCell ref="AWP39:AXF39"/>
    <mergeCell ref="AXG39:AXW39"/>
    <mergeCell ref="AXX39:AYN39"/>
    <mergeCell ref="ASA39:ASQ39"/>
    <mergeCell ref="ASR39:ATH39"/>
    <mergeCell ref="ATI39:ATY39"/>
    <mergeCell ref="ATZ39:AUP39"/>
    <mergeCell ref="AUQ39:AVG39"/>
    <mergeCell ref="AOT39:APJ39"/>
    <mergeCell ref="APK39:AQA39"/>
    <mergeCell ref="AQB39:AQR39"/>
    <mergeCell ref="AQS39:ARI39"/>
    <mergeCell ref="ARJ39:ARZ39"/>
    <mergeCell ref="BLQ39:BMG39"/>
    <mergeCell ref="BMH39:BMX39"/>
    <mergeCell ref="BMY39:BNO39"/>
    <mergeCell ref="BNP39:BOF39"/>
    <mergeCell ref="BOG39:BOW39"/>
    <mergeCell ref="BIJ39:BIZ39"/>
    <mergeCell ref="BJA39:BJQ39"/>
    <mergeCell ref="BJR39:BKH39"/>
    <mergeCell ref="BKI39:BKY39"/>
    <mergeCell ref="BKZ39:BLP39"/>
    <mergeCell ref="BFC39:BFS39"/>
    <mergeCell ref="BFT39:BGJ39"/>
    <mergeCell ref="BGK39:BHA39"/>
    <mergeCell ref="BHB39:BHR39"/>
    <mergeCell ref="BHS39:BII39"/>
    <mergeCell ref="BBV39:BCL39"/>
    <mergeCell ref="BCM39:BDC39"/>
    <mergeCell ref="BDD39:BDT39"/>
    <mergeCell ref="BDU39:BEK39"/>
    <mergeCell ref="BEL39:BFB39"/>
    <mergeCell ref="BYS39:BZI39"/>
    <mergeCell ref="BZJ39:BZZ39"/>
    <mergeCell ref="CAA39:CAQ39"/>
    <mergeCell ref="CAR39:CBH39"/>
    <mergeCell ref="CBI39:CBY39"/>
    <mergeCell ref="BVL39:BWB39"/>
    <mergeCell ref="BWC39:BWS39"/>
    <mergeCell ref="BWT39:BXJ39"/>
    <mergeCell ref="BXK39:BYA39"/>
    <mergeCell ref="BYB39:BYR39"/>
    <mergeCell ref="BSE39:BSU39"/>
    <mergeCell ref="BSV39:BTL39"/>
    <mergeCell ref="BTM39:BUC39"/>
    <mergeCell ref="BUD39:BUT39"/>
    <mergeCell ref="BUU39:BVK39"/>
    <mergeCell ref="BOX39:BPN39"/>
    <mergeCell ref="BPO39:BQE39"/>
    <mergeCell ref="BQF39:BQV39"/>
    <mergeCell ref="BQW39:BRM39"/>
    <mergeCell ref="BRN39:BSD39"/>
    <mergeCell ref="CLU39:CMK39"/>
    <mergeCell ref="CML39:CNB39"/>
    <mergeCell ref="CNC39:CNS39"/>
    <mergeCell ref="CNT39:COJ39"/>
    <mergeCell ref="COK39:CPA39"/>
    <mergeCell ref="CIN39:CJD39"/>
    <mergeCell ref="CJE39:CJU39"/>
    <mergeCell ref="CJV39:CKL39"/>
    <mergeCell ref="CKM39:CLC39"/>
    <mergeCell ref="CLD39:CLT39"/>
    <mergeCell ref="CFG39:CFW39"/>
    <mergeCell ref="CFX39:CGN39"/>
    <mergeCell ref="CGO39:CHE39"/>
    <mergeCell ref="CHF39:CHV39"/>
    <mergeCell ref="CHW39:CIM39"/>
    <mergeCell ref="CBZ39:CCP39"/>
    <mergeCell ref="CCQ39:CDG39"/>
    <mergeCell ref="CDH39:CDX39"/>
    <mergeCell ref="CDY39:CEO39"/>
    <mergeCell ref="CEP39:CFF39"/>
    <mergeCell ref="CYW39:CZM39"/>
    <mergeCell ref="CZN39:DAD39"/>
    <mergeCell ref="DAE39:DAU39"/>
    <mergeCell ref="DAV39:DBL39"/>
    <mergeCell ref="DBM39:DCC39"/>
    <mergeCell ref="CVP39:CWF39"/>
    <mergeCell ref="CWG39:CWW39"/>
    <mergeCell ref="CWX39:CXN39"/>
    <mergeCell ref="CXO39:CYE39"/>
    <mergeCell ref="CYF39:CYV39"/>
    <mergeCell ref="CSI39:CSY39"/>
    <mergeCell ref="CSZ39:CTP39"/>
    <mergeCell ref="CTQ39:CUG39"/>
    <mergeCell ref="CUH39:CUX39"/>
    <mergeCell ref="CUY39:CVO39"/>
    <mergeCell ref="CPB39:CPR39"/>
    <mergeCell ref="CPS39:CQI39"/>
    <mergeCell ref="CQJ39:CQZ39"/>
    <mergeCell ref="CRA39:CRQ39"/>
    <mergeCell ref="CRR39:CSH39"/>
    <mergeCell ref="DLY39:DMO39"/>
    <mergeCell ref="DMP39:DNF39"/>
    <mergeCell ref="DNG39:DNW39"/>
    <mergeCell ref="DNX39:DON39"/>
    <mergeCell ref="DOO39:DPE39"/>
    <mergeCell ref="DIR39:DJH39"/>
    <mergeCell ref="DJI39:DJY39"/>
    <mergeCell ref="DJZ39:DKP39"/>
    <mergeCell ref="DKQ39:DLG39"/>
    <mergeCell ref="DLH39:DLX39"/>
    <mergeCell ref="DFK39:DGA39"/>
    <mergeCell ref="DGB39:DGR39"/>
    <mergeCell ref="DGS39:DHI39"/>
    <mergeCell ref="DHJ39:DHZ39"/>
    <mergeCell ref="DIA39:DIQ39"/>
    <mergeCell ref="DCD39:DCT39"/>
    <mergeCell ref="DCU39:DDK39"/>
    <mergeCell ref="DDL39:DEB39"/>
    <mergeCell ref="DEC39:DES39"/>
    <mergeCell ref="DET39:DFJ39"/>
    <mergeCell ref="DZA39:DZQ39"/>
    <mergeCell ref="DZR39:EAH39"/>
    <mergeCell ref="EAI39:EAY39"/>
    <mergeCell ref="EAZ39:EBP39"/>
    <mergeCell ref="EBQ39:ECG39"/>
    <mergeCell ref="DVT39:DWJ39"/>
    <mergeCell ref="DWK39:DXA39"/>
    <mergeCell ref="DXB39:DXR39"/>
    <mergeCell ref="DXS39:DYI39"/>
    <mergeCell ref="DYJ39:DYZ39"/>
    <mergeCell ref="DSM39:DTC39"/>
    <mergeCell ref="DTD39:DTT39"/>
    <mergeCell ref="DTU39:DUK39"/>
    <mergeCell ref="DUL39:DVB39"/>
    <mergeCell ref="DVC39:DVS39"/>
    <mergeCell ref="DPF39:DPV39"/>
    <mergeCell ref="DPW39:DQM39"/>
    <mergeCell ref="DQN39:DRD39"/>
    <mergeCell ref="DRE39:DRU39"/>
    <mergeCell ref="DRV39:DSL39"/>
    <mergeCell ref="EMC39:EMS39"/>
    <mergeCell ref="EMT39:ENJ39"/>
    <mergeCell ref="ENK39:EOA39"/>
    <mergeCell ref="EOB39:EOR39"/>
    <mergeCell ref="EOS39:EPI39"/>
    <mergeCell ref="EIV39:EJL39"/>
    <mergeCell ref="EJM39:EKC39"/>
    <mergeCell ref="EKD39:EKT39"/>
    <mergeCell ref="EKU39:ELK39"/>
    <mergeCell ref="ELL39:EMB39"/>
    <mergeCell ref="EFO39:EGE39"/>
    <mergeCell ref="EGF39:EGV39"/>
    <mergeCell ref="EGW39:EHM39"/>
    <mergeCell ref="EHN39:EID39"/>
    <mergeCell ref="EIE39:EIU39"/>
    <mergeCell ref="ECH39:ECX39"/>
    <mergeCell ref="ECY39:EDO39"/>
    <mergeCell ref="EDP39:EEF39"/>
    <mergeCell ref="EEG39:EEW39"/>
    <mergeCell ref="EEX39:EFN39"/>
    <mergeCell ref="EZE39:EZU39"/>
    <mergeCell ref="EZV39:FAL39"/>
    <mergeCell ref="FAM39:FBC39"/>
    <mergeCell ref="FBD39:FBT39"/>
    <mergeCell ref="FBU39:FCK39"/>
    <mergeCell ref="EVX39:EWN39"/>
    <mergeCell ref="EWO39:EXE39"/>
    <mergeCell ref="EXF39:EXV39"/>
    <mergeCell ref="EXW39:EYM39"/>
    <mergeCell ref="EYN39:EZD39"/>
    <mergeCell ref="ESQ39:ETG39"/>
    <mergeCell ref="ETH39:ETX39"/>
    <mergeCell ref="ETY39:EUO39"/>
    <mergeCell ref="EUP39:EVF39"/>
    <mergeCell ref="EVG39:EVW39"/>
    <mergeCell ref="EPJ39:EPZ39"/>
    <mergeCell ref="EQA39:EQQ39"/>
    <mergeCell ref="EQR39:ERH39"/>
    <mergeCell ref="ERI39:ERY39"/>
    <mergeCell ref="ERZ39:ESP39"/>
    <mergeCell ref="FMG39:FMW39"/>
    <mergeCell ref="FMX39:FNN39"/>
    <mergeCell ref="FNO39:FOE39"/>
    <mergeCell ref="FOF39:FOV39"/>
    <mergeCell ref="FOW39:FPM39"/>
    <mergeCell ref="FIZ39:FJP39"/>
    <mergeCell ref="FJQ39:FKG39"/>
    <mergeCell ref="FKH39:FKX39"/>
    <mergeCell ref="FKY39:FLO39"/>
    <mergeCell ref="FLP39:FMF39"/>
    <mergeCell ref="FFS39:FGI39"/>
    <mergeCell ref="FGJ39:FGZ39"/>
    <mergeCell ref="FHA39:FHQ39"/>
    <mergeCell ref="FHR39:FIH39"/>
    <mergeCell ref="FII39:FIY39"/>
    <mergeCell ref="FCL39:FDB39"/>
    <mergeCell ref="FDC39:FDS39"/>
    <mergeCell ref="FDT39:FEJ39"/>
    <mergeCell ref="FEK39:FFA39"/>
    <mergeCell ref="FFB39:FFR39"/>
    <mergeCell ref="FZI39:FZY39"/>
    <mergeCell ref="FZZ39:GAP39"/>
    <mergeCell ref="GAQ39:GBG39"/>
    <mergeCell ref="GBH39:GBX39"/>
    <mergeCell ref="GBY39:GCO39"/>
    <mergeCell ref="FWB39:FWR39"/>
    <mergeCell ref="FWS39:FXI39"/>
    <mergeCell ref="FXJ39:FXZ39"/>
    <mergeCell ref="FYA39:FYQ39"/>
    <mergeCell ref="FYR39:FZH39"/>
    <mergeCell ref="FSU39:FTK39"/>
    <mergeCell ref="FTL39:FUB39"/>
    <mergeCell ref="FUC39:FUS39"/>
    <mergeCell ref="FUT39:FVJ39"/>
    <mergeCell ref="FVK39:FWA39"/>
    <mergeCell ref="FPN39:FQD39"/>
    <mergeCell ref="FQE39:FQU39"/>
    <mergeCell ref="FQV39:FRL39"/>
    <mergeCell ref="FRM39:FSC39"/>
    <mergeCell ref="FSD39:FST39"/>
    <mergeCell ref="GMK39:GNA39"/>
    <mergeCell ref="GNB39:GNR39"/>
    <mergeCell ref="GNS39:GOI39"/>
    <mergeCell ref="GOJ39:GOZ39"/>
    <mergeCell ref="GPA39:GPQ39"/>
    <mergeCell ref="GJD39:GJT39"/>
    <mergeCell ref="GJU39:GKK39"/>
    <mergeCell ref="GKL39:GLB39"/>
    <mergeCell ref="GLC39:GLS39"/>
    <mergeCell ref="GLT39:GMJ39"/>
    <mergeCell ref="GFW39:GGM39"/>
    <mergeCell ref="GGN39:GHD39"/>
    <mergeCell ref="GHE39:GHU39"/>
    <mergeCell ref="GHV39:GIL39"/>
    <mergeCell ref="GIM39:GJC39"/>
    <mergeCell ref="GCP39:GDF39"/>
    <mergeCell ref="GDG39:GDW39"/>
    <mergeCell ref="GDX39:GEN39"/>
    <mergeCell ref="GEO39:GFE39"/>
    <mergeCell ref="GFF39:GFV39"/>
    <mergeCell ref="GZM39:HAC39"/>
    <mergeCell ref="HAD39:HAT39"/>
    <mergeCell ref="HAU39:HBK39"/>
    <mergeCell ref="HBL39:HCB39"/>
    <mergeCell ref="HCC39:HCS39"/>
    <mergeCell ref="GWF39:GWV39"/>
    <mergeCell ref="GWW39:GXM39"/>
    <mergeCell ref="GXN39:GYD39"/>
    <mergeCell ref="GYE39:GYU39"/>
    <mergeCell ref="GYV39:GZL39"/>
    <mergeCell ref="GSY39:GTO39"/>
    <mergeCell ref="GTP39:GUF39"/>
    <mergeCell ref="GUG39:GUW39"/>
    <mergeCell ref="GUX39:GVN39"/>
    <mergeCell ref="GVO39:GWE39"/>
    <mergeCell ref="GPR39:GQH39"/>
    <mergeCell ref="GQI39:GQY39"/>
    <mergeCell ref="GQZ39:GRP39"/>
    <mergeCell ref="GRQ39:GSG39"/>
    <mergeCell ref="GSH39:GSX39"/>
    <mergeCell ref="HMO39:HNE39"/>
    <mergeCell ref="HNF39:HNV39"/>
    <mergeCell ref="HNW39:HOM39"/>
    <mergeCell ref="HON39:HPD39"/>
    <mergeCell ref="HPE39:HPU39"/>
    <mergeCell ref="HJH39:HJX39"/>
    <mergeCell ref="HJY39:HKO39"/>
    <mergeCell ref="HKP39:HLF39"/>
    <mergeCell ref="HLG39:HLW39"/>
    <mergeCell ref="HLX39:HMN39"/>
    <mergeCell ref="HGA39:HGQ39"/>
    <mergeCell ref="HGR39:HHH39"/>
    <mergeCell ref="HHI39:HHY39"/>
    <mergeCell ref="HHZ39:HIP39"/>
    <mergeCell ref="HIQ39:HJG39"/>
    <mergeCell ref="HCT39:HDJ39"/>
    <mergeCell ref="HDK39:HEA39"/>
    <mergeCell ref="HEB39:HER39"/>
    <mergeCell ref="HES39:HFI39"/>
    <mergeCell ref="HFJ39:HFZ39"/>
    <mergeCell ref="HZQ39:IAG39"/>
    <mergeCell ref="IAH39:IAX39"/>
    <mergeCell ref="IAY39:IBO39"/>
    <mergeCell ref="IBP39:ICF39"/>
    <mergeCell ref="ICG39:ICW39"/>
    <mergeCell ref="HWJ39:HWZ39"/>
    <mergeCell ref="HXA39:HXQ39"/>
    <mergeCell ref="HXR39:HYH39"/>
    <mergeCell ref="HYI39:HYY39"/>
    <mergeCell ref="HYZ39:HZP39"/>
    <mergeCell ref="HTC39:HTS39"/>
    <mergeCell ref="HTT39:HUJ39"/>
    <mergeCell ref="HUK39:HVA39"/>
    <mergeCell ref="HVB39:HVR39"/>
    <mergeCell ref="HVS39:HWI39"/>
    <mergeCell ref="HPV39:HQL39"/>
    <mergeCell ref="HQM39:HRC39"/>
    <mergeCell ref="HRD39:HRT39"/>
    <mergeCell ref="HRU39:HSK39"/>
    <mergeCell ref="HSL39:HTB39"/>
    <mergeCell ref="IMS39:INI39"/>
    <mergeCell ref="INJ39:INZ39"/>
    <mergeCell ref="IOA39:IOQ39"/>
    <mergeCell ref="IOR39:IPH39"/>
    <mergeCell ref="IPI39:IPY39"/>
    <mergeCell ref="IJL39:IKB39"/>
    <mergeCell ref="IKC39:IKS39"/>
    <mergeCell ref="IKT39:ILJ39"/>
    <mergeCell ref="ILK39:IMA39"/>
    <mergeCell ref="IMB39:IMR39"/>
    <mergeCell ref="IGE39:IGU39"/>
    <mergeCell ref="IGV39:IHL39"/>
    <mergeCell ref="IHM39:IIC39"/>
    <mergeCell ref="IID39:IIT39"/>
    <mergeCell ref="IIU39:IJK39"/>
    <mergeCell ref="ICX39:IDN39"/>
    <mergeCell ref="IDO39:IEE39"/>
    <mergeCell ref="IEF39:IEV39"/>
    <mergeCell ref="IEW39:IFM39"/>
    <mergeCell ref="IFN39:IGD39"/>
    <mergeCell ref="IZU39:JAK39"/>
    <mergeCell ref="JAL39:JBB39"/>
    <mergeCell ref="JBC39:JBS39"/>
    <mergeCell ref="JBT39:JCJ39"/>
    <mergeCell ref="JCK39:JDA39"/>
    <mergeCell ref="IWN39:IXD39"/>
    <mergeCell ref="IXE39:IXU39"/>
    <mergeCell ref="IXV39:IYL39"/>
    <mergeCell ref="IYM39:IZC39"/>
    <mergeCell ref="IZD39:IZT39"/>
    <mergeCell ref="ITG39:ITW39"/>
    <mergeCell ref="ITX39:IUN39"/>
    <mergeCell ref="IUO39:IVE39"/>
    <mergeCell ref="IVF39:IVV39"/>
    <mergeCell ref="IVW39:IWM39"/>
    <mergeCell ref="IPZ39:IQP39"/>
    <mergeCell ref="IQQ39:IRG39"/>
    <mergeCell ref="IRH39:IRX39"/>
    <mergeCell ref="IRY39:ISO39"/>
    <mergeCell ref="ISP39:ITF39"/>
    <mergeCell ref="JMW39:JNM39"/>
    <mergeCell ref="JNN39:JOD39"/>
    <mergeCell ref="JOE39:JOU39"/>
    <mergeCell ref="JOV39:JPL39"/>
    <mergeCell ref="JPM39:JQC39"/>
    <mergeCell ref="JJP39:JKF39"/>
    <mergeCell ref="JKG39:JKW39"/>
    <mergeCell ref="JKX39:JLN39"/>
    <mergeCell ref="JLO39:JME39"/>
    <mergeCell ref="JMF39:JMV39"/>
    <mergeCell ref="JGI39:JGY39"/>
    <mergeCell ref="JGZ39:JHP39"/>
    <mergeCell ref="JHQ39:JIG39"/>
    <mergeCell ref="JIH39:JIX39"/>
    <mergeCell ref="JIY39:JJO39"/>
    <mergeCell ref="JDB39:JDR39"/>
    <mergeCell ref="JDS39:JEI39"/>
    <mergeCell ref="JEJ39:JEZ39"/>
    <mergeCell ref="JFA39:JFQ39"/>
    <mergeCell ref="JFR39:JGH39"/>
    <mergeCell ref="JZY39:KAO39"/>
    <mergeCell ref="KAP39:KBF39"/>
    <mergeCell ref="KBG39:KBW39"/>
    <mergeCell ref="KBX39:KCN39"/>
    <mergeCell ref="KCO39:KDE39"/>
    <mergeCell ref="JWR39:JXH39"/>
    <mergeCell ref="JXI39:JXY39"/>
    <mergeCell ref="JXZ39:JYP39"/>
    <mergeCell ref="JYQ39:JZG39"/>
    <mergeCell ref="JZH39:JZX39"/>
    <mergeCell ref="JTK39:JUA39"/>
    <mergeCell ref="JUB39:JUR39"/>
    <mergeCell ref="JUS39:JVI39"/>
    <mergeCell ref="JVJ39:JVZ39"/>
    <mergeCell ref="JWA39:JWQ39"/>
    <mergeCell ref="JQD39:JQT39"/>
    <mergeCell ref="JQU39:JRK39"/>
    <mergeCell ref="JRL39:JSB39"/>
    <mergeCell ref="JSC39:JSS39"/>
    <mergeCell ref="JST39:JTJ39"/>
    <mergeCell ref="KNA39:KNQ39"/>
    <mergeCell ref="KNR39:KOH39"/>
    <mergeCell ref="KOI39:KOY39"/>
    <mergeCell ref="KOZ39:KPP39"/>
    <mergeCell ref="KPQ39:KQG39"/>
    <mergeCell ref="KJT39:KKJ39"/>
    <mergeCell ref="KKK39:KLA39"/>
    <mergeCell ref="KLB39:KLR39"/>
    <mergeCell ref="KLS39:KMI39"/>
    <mergeCell ref="KMJ39:KMZ39"/>
    <mergeCell ref="KGM39:KHC39"/>
    <mergeCell ref="KHD39:KHT39"/>
    <mergeCell ref="KHU39:KIK39"/>
    <mergeCell ref="KIL39:KJB39"/>
    <mergeCell ref="KJC39:KJS39"/>
    <mergeCell ref="KDF39:KDV39"/>
    <mergeCell ref="KDW39:KEM39"/>
    <mergeCell ref="KEN39:KFD39"/>
    <mergeCell ref="KFE39:KFU39"/>
    <mergeCell ref="KFV39:KGL39"/>
    <mergeCell ref="LAC39:LAS39"/>
    <mergeCell ref="LAT39:LBJ39"/>
    <mergeCell ref="LBK39:LCA39"/>
    <mergeCell ref="LCB39:LCR39"/>
    <mergeCell ref="LCS39:LDI39"/>
    <mergeCell ref="KWV39:KXL39"/>
    <mergeCell ref="KXM39:KYC39"/>
    <mergeCell ref="KYD39:KYT39"/>
    <mergeCell ref="KYU39:KZK39"/>
    <mergeCell ref="KZL39:LAB39"/>
    <mergeCell ref="KTO39:KUE39"/>
    <mergeCell ref="KUF39:KUV39"/>
    <mergeCell ref="KUW39:KVM39"/>
    <mergeCell ref="KVN39:KWD39"/>
    <mergeCell ref="KWE39:KWU39"/>
    <mergeCell ref="KQH39:KQX39"/>
    <mergeCell ref="KQY39:KRO39"/>
    <mergeCell ref="KRP39:KSF39"/>
    <mergeCell ref="KSG39:KSW39"/>
    <mergeCell ref="KSX39:KTN39"/>
    <mergeCell ref="LNE39:LNU39"/>
    <mergeCell ref="LNV39:LOL39"/>
    <mergeCell ref="LOM39:LPC39"/>
    <mergeCell ref="LPD39:LPT39"/>
    <mergeCell ref="LPU39:LQK39"/>
    <mergeCell ref="LJX39:LKN39"/>
    <mergeCell ref="LKO39:LLE39"/>
    <mergeCell ref="LLF39:LLV39"/>
    <mergeCell ref="LLW39:LMM39"/>
    <mergeCell ref="LMN39:LND39"/>
    <mergeCell ref="LGQ39:LHG39"/>
    <mergeCell ref="LHH39:LHX39"/>
    <mergeCell ref="LHY39:LIO39"/>
    <mergeCell ref="LIP39:LJF39"/>
    <mergeCell ref="LJG39:LJW39"/>
    <mergeCell ref="LDJ39:LDZ39"/>
    <mergeCell ref="LEA39:LEQ39"/>
    <mergeCell ref="LER39:LFH39"/>
    <mergeCell ref="LFI39:LFY39"/>
    <mergeCell ref="LFZ39:LGP39"/>
    <mergeCell ref="MAG39:MAW39"/>
    <mergeCell ref="MAX39:MBN39"/>
    <mergeCell ref="MBO39:MCE39"/>
    <mergeCell ref="MCF39:MCV39"/>
    <mergeCell ref="MCW39:MDM39"/>
    <mergeCell ref="LWZ39:LXP39"/>
    <mergeCell ref="LXQ39:LYG39"/>
    <mergeCell ref="LYH39:LYX39"/>
    <mergeCell ref="LYY39:LZO39"/>
    <mergeCell ref="LZP39:MAF39"/>
    <mergeCell ref="LTS39:LUI39"/>
    <mergeCell ref="LUJ39:LUZ39"/>
    <mergeCell ref="LVA39:LVQ39"/>
    <mergeCell ref="LVR39:LWH39"/>
    <mergeCell ref="LWI39:LWY39"/>
    <mergeCell ref="LQL39:LRB39"/>
    <mergeCell ref="LRC39:LRS39"/>
    <mergeCell ref="LRT39:LSJ39"/>
    <mergeCell ref="LSK39:LTA39"/>
    <mergeCell ref="LTB39:LTR39"/>
    <mergeCell ref="MNI39:MNY39"/>
    <mergeCell ref="MNZ39:MOP39"/>
    <mergeCell ref="MOQ39:MPG39"/>
    <mergeCell ref="MPH39:MPX39"/>
    <mergeCell ref="MPY39:MQO39"/>
    <mergeCell ref="MKB39:MKR39"/>
    <mergeCell ref="MKS39:MLI39"/>
    <mergeCell ref="MLJ39:MLZ39"/>
    <mergeCell ref="MMA39:MMQ39"/>
    <mergeCell ref="MMR39:MNH39"/>
    <mergeCell ref="MGU39:MHK39"/>
    <mergeCell ref="MHL39:MIB39"/>
    <mergeCell ref="MIC39:MIS39"/>
    <mergeCell ref="MIT39:MJJ39"/>
    <mergeCell ref="MJK39:MKA39"/>
    <mergeCell ref="MDN39:MED39"/>
    <mergeCell ref="MEE39:MEU39"/>
    <mergeCell ref="MEV39:MFL39"/>
    <mergeCell ref="MFM39:MGC39"/>
    <mergeCell ref="MGD39:MGT39"/>
    <mergeCell ref="NAK39:NBA39"/>
    <mergeCell ref="NBB39:NBR39"/>
    <mergeCell ref="NBS39:NCI39"/>
    <mergeCell ref="NCJ39:NCZ39"/>
    <mergeCell ref="NDA39:NDQ39"/>
    <mergeCell ref="MXD39:MXT39"/>
    <mergeCell ref="MXU39:MYK39"/>
    <mergeCell ref="MYL39:MZB39"/>
    <mergeCell ref="MZC39:MZS39"/>
    <mergeCell ref="MZT39:NAJ39"/>
    <mergeCell ref="MTW39:MUM39"/>
    <mergeCell ref="MUN39:MVD39"/>
    <mergeCell ref="MVE39:MVU39"/>
    <mergeCell ref="MVV39:MWL39"/>
    <mergeCell ref="MWM39:MXC39"/>
    <mergeCell ref="MQP39:MRF39"/>
    <mergeCell ref="MRG39:MRW39"/>
    <mergeCell ref="MRX39:MSN39"/>
    <mergeCell ref="MSO39:MTE39"/>
    <mergeCell ref="MTF39:MTV39"/>
    <mergeCell ref="NNM39:NOC39"/>
    <mergeCell ref="NOD39:NOT39"/>
    <mergeCell ref="NOU39:NPK39"/>
    <mergeCell ref="NPL39:NQB39"/>
    <mergeCell ref="NQC39:NQS39"/>
    <mergeCell ref="NKF39:NKV39"/>
    <mergeCell ref="NKW39:NLM39"/>
    <mergeCell ref="NLN39:NMD39"/>
    <mergeCell ref="NME39:NMU39"/>
    <mergeCell ref="NMV39:NNL39"/>
    <mergeCell ref="NGY39:NHO39"/>
    <mergeCell ref="NHP39:NIF39"/>
    <mergeCell ref="NIG39:NIW39"/>
    <mergeCell ref="NIX39:NJN39"/>
    <mergeCell ref="NJO39:NKE39"/>
    <mergeCell ref="NDR39:NEH39"/>
    <mergeCell ref="NEI39:NEY39"/>
    <mergeCell ref="NEZ39:NFP39"/>
    <mergeCell ref="NFQ39:NGG39"/>
    <mergeCell ref="NGH39:NGX39"/>
    <mergeCell ref="OAO39:OBE39"/>
    <mergeCell ref="OBF39:OBV39"/>
    <mergeCell ref="OBW39:OCM39"/>
    <mergeCell ref="OCN39:ODD39"/>
    <mergeCell ref="ODE39:ODU39"/>
    <mergeCell ref="NXH39:NXX39"/>
    <mergeCell ref="NXY39:NYO39"/>
    <mergeCell ref="NYP39:NZF39"/>
    <mergeCell ref="NZG39:NZW39"/>
    <mergeCell ref="NZX39:OAN39"/>
    <mergeCell ref="NUA39:NUQ39"/>
    <mergeCell ref="NUR39:NVH39"/>
    <mergeCell ref="NVI39:NVY39"/>
    <mergeCell ref="NVZ39:NWP39"/>
    <mergeCell ref="NWQ39:NXG39"/>
    <mergeCell ref="NQT39:NRJ39"/>
    <mergeCell ref="NRK39:NSA39"/>
    <mergeCell ref="NSB39:NSR39"/>
    <mergeCell ref="NSS39:NTI39"/>
    <mergeCell ref="NTJ39:NTZ39"/>
    <mergeCell ref="ONQ39:OOG39"/>
    <mergeCell ref="OOH39:OOX39"/>
    <mergeCell ref="OOY39:OPO39"/>
    <mergeCell ref="OPP39:OQF39"/>
    <mergeCell ref="OQG39:OQW39"/>
    <mergeCell ref="OKJ39:OKZ39"/>
    <mergeCell ref="OLA39:OLQ39"/>
    <mergeCell ref="OLR39:OMH39"/>
    <mergeCell ref="OMI39:OMY39"/>
    <mergeCell ref="OMZ39:ONP39"/>
    <mergeCell ref="OHC39:OHS39"/>
    <mergeCell ref="OHT39:OIJ39"/>
    <mergeCell ref="OIK39:OJA39"/>
    <mergeCell ref="OJB39:OJR39"/>
    <mergeCell ref="OJS39:OKI39"/>
    <mergeCell ref="ODV39:OEL39"/>
    <mergeCell ref="OEM39:OFC39"/>
    <mergeCell ref="OFD39:OFT39"/>
    <mergeCell ref="OFU39:OGK39"/>
    <mergeCell ref="OGL39:OHB39"/>
    <mergeCell ref="PAS39:PBI39"/>
    <mergeCell ref="PBJ39:PBZ39"/>
    <mergeCell ref="PCA39:PCQ39"/>
    <mergeCell ref="PCR39:PDH39"/>
    <mergeCell ref="PDI39:PDY39"/>
    <mergeCell ref="OXL39:OYB39"/>
    <mergeCell ref="OYC39:OYS39"/>
    <mergeCell ref="OYT39:OZJ39"/>
    <mergeCell ref="OZK39:PAA39"/>
    <mergeCell ref="PAB39:PAR39"/>
    <mergeCell ref="OUE39:OUU39"/>
    <mergeCell ref="OUV39:OVL39"/>
    <mergeCell ref="OVM39:OWC39"/>
    <mergeCell ref="OWD39:OWT39"/>
    <mergeCell ref="OWU39:OXK39"/>
    <mergeCell ref="OQX39:ORN39"/>
    <mergeCell ref="ORO39:OSE39"/>
    <mergeCell ref="OSF39:OSV39"/>
    <mergeCell ref="OSW39:OTM39"/>
    <mergeCell ref="OTN39:OUD39"/>
    <mergeCell ref="PNU39:POK39"/>
    <mergeCell ref="POL39:PPB39"/>
    <mergeCell ref="PPC39:PPS39"/>
    <mergeCell ref="PPT39:PQJ39"/>
    <mergeCell ref="PQK39:PRA39"/>
    <mergeCell ref="PKN39:PLD39"/>
    <mergeCell ref="PLE39:PLU39"/>
    <mergeCell ref="PLV39:PML39"/>
    <mergeCell ref="PMM39:PNC39"/>
    <mergeCell ref="PND39:PNT39"/>
    <mergeCell ref="PHG39:PHW39"/>
    <mergeCell ref="PHX39:PIN39"/>
    <mergeCell ref="PIO39:PJE39"/>
    <mergeCell ref="PJF39:PJV39"/>
    <mergeCell ref="PJW39:PKM39"/>
    <mergeCell ref="PDZ39:PEP39"/>
    <mergeCell ref="PEQ39:PFG39"/>
    <mergeCell ref="PFH39:PFX39"/>
    <mergeCell ref="PFY39:PGO39"/>
    <mergeCell ref="PGP39:PHF39"/>
    <mergeCell ref="QAW39:QBM39"/>
    <mergeCell ref="QBN39:QCD39"/>
    <mergeCell ref="QCE39:QCU39"/>
    <mergeCell ref="QCV39:QDL39"/>
    <mergeCell ref="QDM39:QEC39"/>
    <mergeCell ref="PXP39:PYF39"/>
    <mergeCell ref="PYG39:PYW39"/>
    <mergeCell ref="PYX39:PZN39"/>
    <mergeCell ref="PZO39:QAE39"/>
    <mergeCell ref="QAF39:QAV39"/>
    <mergeCell ref="PUI39:PUY39"/>
    <mergeCell ref="PUZ39:PVP39"/>
    <mergeCell ref="PVQ39:PWG39"/>
    <mergeCell ref="PWH39:PWX39"/>
    <mergeCell ref="PWY39:PXO39"/>
    <mergeCell ref="PRB39:PRR39"/>
    <mergeCell ref="PRS39:PSI39"/>
    <mergeCell ref="PSJ39:PSZ39"/>
    <mergeCell ref="PTA39:PTQ39"/>
    <mergeCell ref="PTR39:PUH39"/>
    <mergeCell ref="QNY39:QOO39"/>
    <mergeCell ref="QOP39:QPF39"/>
    <mergeCell ref="QPG39:QPW39"/>
    <mergeCell ref="QPX39:QQN39"/>
    <mergeCell ref="QQO39:QRE39"/>
    <mergeCell ref="QKR39:QLH39"/>
    <mergeCell ref="QLI39:QLY39"/>
    <mergeCell ref="QLZ39:QMP39"/>
    <mergeCell ref="QMQ39:QNG39"/>
    <mergeCell ref="QNH39:QNX39"/>
    <mergeCell ref="QHK39:QIA39"/>
    <mergeCell ref="QIB39:QIR39"/>
    <mergeCell ref="QIS39:QJI39"/>
    <mergeCell ref="QJJ39:QJZ39"/>
    <mergeCell ref="QKA39:QKQ39"/>
    <mergeCell ref="QED39:QET39"/>
    <mergeCell ref="QEU39:QFK39"/>
    <mergeCell ref="QFL39:QGB39"/>
    <mergeCell ref="QGC39:QGS39"/>
    <mergeCell ref="QGT39:QHJ39"/>
    <mergeCell ref="RBA39:RBQ39"/>
    <mergeCell ref="RBR39:RCH39"/>
    <mergeCell ref="RCI39:RCY39"/>
    <mergeCell ref="RCZ39:RDP39"/>
    <mergeCell ref="RDQ39:REG39"/>
    <mergeCell ref="QXT39:QYJ39"/>
    <mergeCell ref="QYK39:QZA39"/>
    <mergeCell ref="QZB39:QZR39"/>
    <mergeCell ref="QZS39:RAI39"/>
    <mergeCell ref="RAJ39:RAZ39"/>
    <mergeCell ref="QUM39:QVC39"/>
    <mergeCell ref="QVD39:QVT39"/>
    <mergeCell ref="QVU39:QWK39"/>
    <mergeCell ref="QWL39:QXB39"/>
    <mergeCell ref="QXC39:QXS39"/>
    <mergeCell ref="QRF39:QRV39"/>
    <mergeCell ref="QRW39:QSM39"/>
    <mergeCell ref="QSN39:QTD39"/>
    <mergeCell ref="QTE39:QTU39"/>
    <mergeCell ref="QTV39:QUL39"/>
    <mergeCell ref="ROC39:ROS39"/>
    <mergeCell ref="ROT39:RPJ39"/>
    <mergeCell ref="RPK39:RQA39"/>
    <mergeCell ref="RQB39:RQR39"/>
    <mergeCell ref="RQS39:RRI39"/>
    <mergeCell ref="RKV39:RLL39"/>
    <mergeCell ref="RLM39:RMC39"/>
    <mergeCell ref="RMD39:RMT39"/>
    <mergeCell ref="RMU39:RNK39"/>
    <mergeCell ref="RNL39:ROB39"/>
    <mergeCell ref="RHO39:RIE39"/>
    <mergeCell ref="RIF39:RIV39"/>
    <mergeCell ref="RIW39:RJM39"/>
    <mergeCell ref="RJN39:RKD39"/>
    <mergeCell ref="RKE39:RKU39"/>
    <mergeCell ref="REH39:REX39"/>
    <mergeCell ref="REY39:RFO39"/>
    <mergeCell ref="RFP39:RGF39"/>
    <mergeCell ref="RGG39:RGW39"/>
    <mergeCell ref="RGX39:RHN39"/>
    <mergeCell ref="SBE39:SBU39"/>
    <mergeCell ref="SBV39:SCL39"/>
    <mergeCell ref="SCM39:SDC39"/>
    <mergeCell ref="SDD39:SDT39"/>
    <mergeCell ref="SDU39:SEK39"/>
    <mergeCell ref="RXX39:RYN39"/>
    <mergeCell ref="RYO39:RZE39"/>
    <mergeCell ref="RZF39:RZV39"/>
    <mergeCell ref="RZW39:SAM39"/>
    <mergeCell ref="SAN39:SBD39"/>
    <mergeCell ref="RUQ39:RVG39"/>
    <mergeCell ref="RVH39:RVX39"/>
    <mergeCell ref="RVY39:RWO39"/>
    <mergeCell ref="RWP39:RXF39"/>
    <mergeCell ref="RXG39:RXW39"/>
    <mergeCell ref="RRJ39:RRZ39"/>
    <mergeCell ref="RSA39:RSQ39"/>
    <mergeCell ref="RSR39:RTH39"/>
    <mergeCell ref="RTI39:RTY39"/>
    <mergeCell ref="RTZ39:RUP39"/>
    <mergeCell ref="SOG39:SOW39"/>
    <mergeCell ref="SOX39:SPN39"/>
    <mergeCell ref="SPO39:SQE39"/>
    <mergeCell ref="SQF39:SQV39"/>
    <mergeCell ref="SQW39:SRM39"/>
    <mergeCell ref="SKZ39:SLP39"/>
    <mergeCell ref="SLQ39:SMG39"/>
    <mergeCell ref="SMH39:SMX39"/>
    <mergeCell ref="SMY39:SNO39"/>
    <mergeCell ref="SNP39:SOF39"/>
    <mergeCell ref="SHS39:SII39"/>
    <mergeCell ref="SIJ39:SIZ39"/>
    <mergeCell ref="SJA39:SJQ39"/>
    <mergeCell ref="SJR39:SKH39"/>
    <mergeCell ref="SKI39:SKY39"/>
    <mergeCell ref="SEL39:SFB39"/>
    <mergeCell ref="SFC39:SFS39"/>
    <mergeCell ref="SFT39:SGJ39"/>
    <mergeCell ref="SGK39:SHA39"/>
    <mergeCell ref="SHB39:SHR39"/>
    <mergeCell ref="TBI39:TBY39"/>
    <mergeCell ref="TBZ39:TCP39"/>
    <mergeCell ref="TCQ39:TDG39"/>
    <mergeCell ref="TDH39:TDX39"/>
    <mergeCell ref="TDY39:TEO39"/>
    <mergeCell ref="SYB39:SYR39"/>
    <mergeCell ref="SYS39:SZI39"/>
    <mergeCell ref="SZJ39:SZZ39"/>
    <mergeCell ref="TAA39:TAQ39"/>
    <mergeCell ref="TAR39:TBH39"/>
    <mergeCell ref="SUU39:SVK39"/>
    <mergeCell ref="SVL39:SWB39"/>
    <mergeCell ref="SWC39:SWS39"/>
    <mergeCell ref="SWT39:SXJ39"/>
    <mergeCell ref="SXK39:SYA39"/>
    <mergeCell ref="SRN39:SSD39"/>
    <mergeCell ref="SSE39:SSU39"/>
    <mergeCell ref="SSV39:STL39"/>
    <mergeCell ref="STM39:SUC39"/>
    <mergeCell ref="SUD39:SUT39"/>
    <mergeCell ref="TOK39:TPA39"/>
    <mergeCell ref="TPB39:TPR39"/>
    <mergeCell ref="TPS39:TQI39"/>
    <mergeCell ref="TQJ39:TQZ39"/>
    <mergeCell ref="TRA39:TRQ39"/>
    <mergeCell ref="TLD39:TLT39"/>
    <mergeCell ref="TLU39:TMK39"/>
    <mergeCell ref="TML39:TNB39"/>
    <mergeCell ref="TNC39:TNS39"/>
    <mergeCell ref="TNT39:TOJ39"/>
    <mergeCell ref="THW39:TIM39"/>
    <mergeCell ref="TIN39:TJD39"/>
    <mergeCell ref="TJE39:TJU39"/>
    <mergeCell ref="TJV39:TKL39"/>
    <mergeCell ref="TKM39:TLC39"/>
    <mergeCell ref="TEP39:TFF39"/>
    <mergeCell ref="TFG39:TFW39"/>
    <mergeCell ref="TFX39:TGN39"/>
    <mergeCell ref="TGO39:THE39"/>
    <mergeCell ref="THF39:THV39"/>
    <mergeCell ref="UBM39:UCC39"/>
    <mergeCell ref="UCD39:UCT39"/>
    <mergeCell ref="UCU39:UDK39"/>
    <mergeCell ref="UDL39:UEB39"/>
    <mergeCell ref="UEC39:UES39"/>
    <mergeCell ref="TYF39:TYV39"/>
    <mergeCell ref="TYW39:TZM39"/>
    <mergeCell ref="TZN39:UAD39"/>
    <mergeCell ref="UAE39:UAU39"/>
    <mergeCell ref="UAV39:UBL39"/>
    <mergeCell ref="TUY39:TVO39"/>
    <mergeCell ref="TVP39:TWF39"/>
    <mergeCell ref="TWG39:TWW39"/>
    <mergeCell ref="TWX39:TXN39"/>
    <mergeCell ref="TXO39:TYE39"/>
    <mergeCell ref="TRR39:TSH39"/>
    <mergeCell ref="TSI39:TSY39"/>
    <mergeCell ref="TSZ39:TTP39"/>
    <mergeCell ref="TTQ39:TUG39"/>
    <mergeCell ref="TUH39:TUX39"/>
    <mergeCell ref="UOO39:UPE39"/>
    <mergeCell ref="UPF39:UPV39"/>
    <mergeCell ref="UPW39:UQM39"/>
    <mergeCell ref="UQN39:URD39"/>
    <mergeCell ref="URE39:URU39"/>
    <mergeCell ref="ULH39:ULX39"/>
    <mergeCell ref="ULY39:UMO39"/>
    <mergeCell ref="UMP39:UNF39"/>
    <mergeCell ref="UNG39:UNW39"/>
    <mergeCell ref="UNX39:UON39"/>
    <mergeCell ref="UIA39:UIQ39"/>
    <mergeCell ref="UIR39:UJH39"/>
    <mergeCell ref="UJI39:UJY39"/>
    <mergeCell ref="UJZ39:UKP39"/>
    <mergeCell ref="UKQ39:ULG39"/>
    <mergeCell ref="UET39:UFJ39"/>
    <mergeCell ref="UFK39:UGA39"/>
    <mergeCell ref="UGB39:UGR39"/>
    <mergeCell ref="UGS39:UHI39"/>
    <mergeCell ref="UHJ39:UHZ39"/>
    <mergeCell ref="VBQ39:VCG39"/>
    <mergeCell ref="VCH39:VCX39"/>
    <mergeCell ref="VCY39:VDO39"/>
    <mergeCell ref="VDP39:VEF39"/>
    <mergeCell ref="VEG39:VEW39"/>
    <mergeCell ref="UYJ39:UYZ39"/>
    <mergeCell ref="UZA39:UZQ39"/>
    <mergeCell ref="UZR39:VAH39"/>
    <mergeCell ref="VAI39:VAY39"/>
    <mergeCell ref="VAZ39:VBP39"/>
    <mergeCell ref="UVC39:UVS39"/>
    <mergeCell ref="UVT39:UWJ39"/>
    <mergeCell ref="UWK39:UXA39"/>
    <mergeCell ref="UXB39:UXR39"/>
    <mergeCell ref="UXS39:UYI39"/>
    <mergeCell ref="URV39:USL39"/>
    <mergeCell ref="USM39:UTC39"/>
    <mergeCell ref="UTD39:UTT39"/>
    <mergeCell ref="UTU39:UUK39"/>
    <mergeCell ref="UUL39:UVB39"/>
    <mergeCell ref="VOS39:VPI39"/>
    <mergeCell ref="VPJ39:VPZ39"/>
    <mergeCell ref="VQA39:VQQ39"/>
    <mergeCell ref="VQR39:VRH39"/>
    <mergeCell ref="VRI39:VRY39"/>
    <mergeCell ref="VLL39:VMB39"/>
    <mergeCell ref="VMC39:VMS39"/>
    <mergeCell ref="VMT39:VNJ39"/>
    <mergeCell ref="VNK39:VOA39"/>
    <mergeCell ref="VOB39:VOR39"/>
    <mergeCell ref="VIE39:VIU39"/>
    <mergeCell ref="VIV39:VJL39"/>
    <mergeCell ref="VJM39:VKC39"/>
    <mergeCell ref="VKD39:VKT39"/>
    <mergeCell ref="VKU39:VLK39"/>
    <mergeCell ref="VEX39:VFN39"/>
    <mergeCell ref="VFO39:VGE39"/>
    <mergeCell ref="VGF39:VGV39"/>
    <mergeCell ref="VGW39:VHM39"/>
    <mergeCell ref="VHN39:VID39"/>
    <mergeCell ref="WBU39:WCK39"/>
    <mergeCell ref="WCL39:WDB39"/>
    <mergeCell ref="WDC39:WDS39"/>
    <mergeCell ref="WDT39:WEJ39"/>
    <mergeCell ref="WEK39:WFA39"/>
    <mergeCell ref="VYN39:VZD39"/>
    <mergeCell ref="VZE39:VZU39"/>
    <mergeCell ref="VZV39:WAL39"/>
    <mergeCell ref="WAM39:WBC39"/>
    <mergeCell ref="WBD39:WBT39"/>
    <mergeCell ref="VVG39:VVW39"/>
    <mergeCell ref="VVX39:VWN39"/>
    <mergeCell ref="VWO39:VXE39"/>
    <mergeCell ref="VXF39:VXV39"/>
    <mergeCell ref="VXW39:VYM39"/>
    <mergeCell ref="VRZ39:VSP39"/>
    <mergeCell ref="VSQ39:VTG39"/>
    <mergeCell ref="VTH39:VTX39"/>
    <mergeCell ref="VTY39:VUO39"/>
    <mergeCell ref="VUP39:VVF39"/>
    <mergeCell ref="WOW39:WPM39"/>
    <mergeCell ref="WPN39:WQD39"/>
    <mergeCell ref="WQE39:WQU39"/>
    <mergeCell ref="WQV39:WRL39"/>
    <mergeCell ref="WRM39:WSC39"/>
    <mergeCell ref="WLP39:WMF39"/>
    <mergeCell ref="WMG39:WMW39"/>
    <mergeCell ref="WMX39:WNN39"/>
    <mergeCell ref="WNO39:WOE39"/>
    <mergeCell ref="WOF39:WOV39"/>
    <mergeCell ref="WII39:WIY39"/>
    <mergeCell ref="WIZ39:WJP39"/>
    <mergeCell ref="WJQ39:WKG39"/>
    <mergeCell ref="WKH39:WKX39"/>
    <mergeCell ref="WKY39:WLO39"/>
    <mergeCell ref="WFB39:WFR39"/>
    <mergeCell ref="WFS39:WGI39"/>
    <mergeCell ref="WGJ39:WGZ39"/>
    <mergeCell ref="WHA39:WHQ39"/>
    <mergeCell ref="WHR39:WIH39"/>
    <mergeCell ref="XBY39:XCO39"/>
    <mergeCell ref="XCP39:XDF39"/>
    <mergeCell ref="XDG39:XDW39"/>
    <mergeCell ref="XDX39:XEN39"/>
    <mergeCell ref="XEO39:XFA39"/>
    <mergeCell ref="WYR39:WZH39"/>
    <mergeCell ref="WZI39:WZY39"/>
    <mergeCell ref="WZZ39:XAP39"/>
    <mergeCell ref="XAQ39:XBG39"/>
    <mergeCell ref="XBH39:XBX39"/>
    <mergeCell ref="WVK39:WWA39"/>
    <mergeCell ref="WWB39:WWR39"/>
    <mergeCell ref="WWS39:WXI39"/>
    <mergeCell ref="WXJ39:WXZ39"/>
    <mergeCell ref="WYA39:WYQ39"/>
    <mergeCell ref="WSD39:WST39"/>
    <mergeCell ref="WSU39:WTK39"/>
    <mergeCell ref="WTL39:WUB39"/>
    <mergeCell ref="WUC39:WUS39"/>
    <mergeCell ref="WUT39:WVJ39"/>
  </mergeCells>
  <pageMargins left="0.70866141732283472" right="0.70866141732283472" top="0.74803149606299213" bottom="0.74803149606299213" header="0.31496062992125984" footer="0.31496062992125984"/>
  <pageSetup paperSize="9" scale="47" orientation="landscape" r:id="rId5"/>
  <ignoredErrors>
    <ignoredError sqref="AA15:AA16 AA6:AA9 AA21:AA23 AA26 AA17:AA19 AA11:AA14 AB10:AD10 C10:F10 H10:K10 M10:P10 R10:Z10 AG10:AI10 AM10:AO10 AJ10 AP10 AR10:AU10 AW10:AZ10 BB10:BE10 BG10:BH10" formulaRange="1"/>
    <ignoredError sqref="AA20 AA27 Y30:Z30 G10 G20 L10 L20 Q10 Q20 AA10 X30 AF20 AF27 AF10 AK25 AK27 AQ25 AQ27 AV25:AV27 BA25:BA27 BB25" formula="1"/>
    <ignoredError sqref="AE10 AQ10 AK10 AV10" formula="1" formulaRange="1"/>
    <ignoredError sqref="AP32 AJ32" evalError="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Y736"/>
  <sheetViews>
    <sheetView showGridLines="0" tabSelected="1" zoomScale="85" zoomScaleNormal="85" zoomScaleSheetLayoutView="100" workbookViewId="0">
      <pane xSplit="38" topLeftCell="AM1" activePane="topRight" state="frozen"/>
      <selection pane="topRight" activeCell="B21" sqref="B21"/>
    </sheetView>
  </sheetViews>
  <sheetFormatPr defaultColWidth="9" defaultRowHeight="15"/>
  <cols>
    <col min="1" max="1" width="43.25" style="218" customWidth="1"/>
    <col min="2" max="2" width="40.875" style="218" customWidth="1"/>
    <col min="3" max="38" width="3.5" style="218" hidden="1" customWidth="1"/>
    <col min="39" max="43" width="9" style="217"/>
    <col min="44" max="48" width="9" style="217" hidden="1" customWidth="1"/>
    <col min="49" max="53" width="9" style="217"/>
    <col min="54" max="54" width="9.25" style="217" bestFit="1" customWidth="1"/>
    <col min="55" max="58" width="9" style="217"/>
    <col min="59" max="59" width="9.25" style="217" bestFit="1" customWidth="1"/>
    <col min="60" max="493" width="9" style="217"/>
    <col min="494" max="16384" width="9" style="218"/>
  </cols>
  <sheetData>
    <row r="1" spans="1:493" ht="89.25" customHeight="1">
      <c r="A1" s="3"/>
      <c r="B1" s="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c r="IS1" s="261"/>
      <c r="IT1" s="261"/>
      <c r="IU1" s="261"/>
      <c r="IV1" s="261"/>
      <c r="IW1" s="261"/>
      <c r="IX1" s="261"/>
      <c r="IY1" s="261"/>
      <c r="IZ1" s="261"/>
      <c r="JA1" s="261"/>
      <c r="JB1" s="261"/>
      <c r="JC1" s="261"/>
      <c r="JD1" s="261"/>
      <c r="JE1" s="261"/>
      <c r="JF1" s="261"/>
      <c r="JG1" s="261"/>
      <c r="JH1" s="261"/>
      <c r="JI1" s="261"/>
      <c r="JJ1" s="261"/>
      <c r="JK1" s="261"/>
      <c r="JL1" s="261"/>
      <c r="JM1" s="261"/>
      <c r="JN1" s="261"/>
      <c r="JO1" s="261"/>
      <c r="JP1" s="261"/>
      <c r="JQ1" s="261"/>
      <c r="JR1" s="261"/>
      <c r="JS1" s="261"/>
      <c r="JT1" s="261"/>
      <c r="JU1" s="261"/>
      <c r="JV1" s="261"/>
      <c r="JW1" s="261"/>
      <c r="JX1" s="261"/>
      <c r="JY1" s="261"/>
      <c r="JZ1" s="261"/>
      <c r="KA1" s="261"/>
      <c r="KB1" s="261"/>
      <c r="KC1" s="261"/>
      <c r="KD1" s="261"/>
      <c r="KE1" s="261"/>
      <c r="KF1" s="261"/>
      <c r="KG1" s="261"/>
      <c r="KH1" s="261"/>
      <c r="KI1" s="261"/>
      <c r="KJ1" s="261"/>
      <c r="KK1" s="261"/>
      <c r="KL1" s="261"/>
      <c r="KM1" s="261"/>
      <c r="KN1" s="261"/>
      <c r="KO1" s="261"/>
      <c r="KP1" s="261"/>
      <c r="KQ1" s="261"/>
      <c r="KR1" s="261"/>
      <c r="KS1" s="261"/>
      <c r="KT1" s="261"/>
      <c r="KU1" s="261"/>
      <c r="KV1" s="261"/>
      <c r="KW1" s="261"/>
      <c r="KX1" s="261"/>
      <c r="KY1" s="261"/>
      <c r="KZ1" s="261"/>
      <c r="LA1" s="261"/>
      <c r="LB1" s="261"/>
      <c r="LC1" s="261"/>
      <c r="LD1" s="261"/>
      <c r="LE1" s="261"/>
      <c r="LF1" s="261"/>
      <c r="LG1" s="261"/>
      <c r="LH1" s="261"/>
      <c r="LI1" s="261"/>
      <c r="LJ1" s="261"/>
      <c r="LK1" s="261"/>
      <c r="LL1" s="261"/>
      <c r="LM1" s="261"/>
      <c r="LN1" s="261"/>
      <c r="LO1" s="261"/>
      <c r="LP1" s="261"/>
      <c r="LQ1" s="261"/>
      <c r="LR1" s="261"/>
      <c r="LS1" s="261"/>
      <c r="LT1" s="261"/>
      <c r="LU1" s="261"/>
      <c r="LV1" s="261"/>
      <c r="LW1" s="261"/>
      <c r="LX1" s="261"/>
      <c r="LY1" s="261"/>
      <c r="LZ1" s="261"/>
      <c r="MA1" s="261"/>
      <c r="MB1" s="261"/>
      <c r="MC1" s="261"/>
      <c r="MD1" s="261"/>
      <c r="ME1" s="261"/>
      <c r="MF1" s="261"/>
      <c r="MG1" s="261"/>
      <c r="MH1" s="261"/>
      <c r="MI1" s="261"/>
      <c r="MJ1" s="261"/>
      <c r="MK1" s="261"/>
      <c r="ML1" s="261"/>
      <c r="MM1" s="261"/>
      <c r="MN1" s="261"/>
      <c r="MO1" s="261"/>
      <c r="MP1" s="261"/>
      <c r="MQ1" s="261"/>
      <c r="MR1" s="261"/>
      <c r="MS1" s="261"/>
      <c r="MT1" s="261"/>
      <c r="MU1" s="261"/>
      <c r="MV1" s="261"/>
      <c r="MW1" s="261"/>
      <c r="MX1" s="261"/>
      <c r="MY1" s="261"/>
      <c r="MZ1" s="261"/>
      <c r="NA1" s="261"/>
      <c r="NB1" s="261"/>
      <c r="NC1" s="261"/>
      <c r="ND1" s="261"/>
      <c r="NE1" s="261"/>
      <c r="NF1" s="261"/>
      <c r="NG1" s="261"/>
      <c r="NH1" s="261"/>
      <c r="NI1" s="261"/>
      <c r="NJ1" s="261"/>
      <c r="NK1" s="261"/>
      <c r="NL1" s="261"/>
      <c r="NM1" s="261"/>
      <c r="NN1" s="261"/>
      <c r="NO1" s="261"/>
      <c r="NP1" s="261"/>
      <c r="NQ1" s="261"/>
      <c r="NR1" s="261"/>
      <c r="NS1" s="261"/>
      <c r="NT1" s="261"/>
      <c r="NU1" s="261"/>
      <c r="NV1" s="261"/>
      <c r="NW1" s="261"/>
      <c r="NX1" s="261"/>
      <c r="NY1" s="261"/>
      <c r="NZ1" s="261"/>
      <c r="OA1" s="261"/>
      <c r="OB1" s="261"/>
      <c r="OC1" s="261"/>
      <c r="OD1" s="261"/>
      <c r="OE1" s="261"/>
      <c r="OF1" s="261"/>
      <c r="OG1" s="261"/>
      <c r="OH1" s="261"/>
      <c r="OI1" s="261"/>
      <c r="OJ1" s="261"/>
      <c r="OK1" s="261"/>
      <c r="OL1" s="261"/>
      <c r="OM1" s="261"/>
      <c r="ON1" s="261"/>
      <c r="OO1" s="261"/>
      <c r="OP1" s="261"/>
      <c r="OQ1" s="261"/>
      <c r="OR1" s="261"/>
      <c r="OS1" s="261"/>
      <c r="OT1" s="261"/>
      <c r="OU1" s="261"/>
      <c r="OV1" s="261"/>
      <c r="OW1" s="261"/>
      <c r="OX1" s="261"/>
      <c r="OY1" s="261"/>
      <c r="OZ1" s="261"/>
      <c r="PA1" s="261"/>
      <c r="PB1" s="261"/>
      <c r="PC1" s="261"/>
      <c r="PD1" s="261"/>
      <c r="PE1" s="261"/>
      <c r="PF1" s="261"/>
      <c r="PG1" s="261"/>
      <c r="PH1" s="261"/>
      <c r="PI1" s="261"/>
      <c r="PJ1" s="261"/>
      <c r="PK1" s="261"/>
      <c r="PL1" s="261"/>
      <c r="PM1" s="261"/>
      <c r="PN1" s="261"/>
      <c r="PO1" s="261"/>
      <c r="PP1" s="261"/>
      <c r="PQ1" s="261"/>
      <c r="PR1" s="261"/>
      <c r="PS1" s="261"/>
      <c r="PT1" s="261"/>
      <c r="PU1" s="261"/>
      <c r="PV1" s="261"/>
      <c r="PW1" s="261"/>
      <c r="PX1" s="261"/>
      <c r="PY1" s="261"/>
      <c r="PZ1" s="261"/>
      <c r="QA1" s="261"/>
      <c r="QB1" s="261"/>
      <c r="QC1" s="261"/>
      <c r="QD1" s="261"/>
      <c r="QE1" s="261"/>
      <c r="QF1" s="261"/>
      <c r="QG1" s="261"/>
      <c r="QH1" s="261"/>
      <c r="QI1" s="261"/>
      <c r="QJ1" s="261"/>
      <c r="QK1" s="261"/>
      <c r="QL1" s="261"/>
      <c r="QM1" s="261"/>
      <c r="QN1" s="261"/>
      <c r="QO1" s="261"/>
      <c r="QP1" s="261"/>
      <c r="QQ1" s="261"/>
      <c r="QR1" s="261"/>
      <c r="QS1" s="261"/>
      <c r="QT1" s="261"/>
      <c r="QU1" s="261"/>
      <c r="QV1" s="261"/>
      <c r="QW1" s="261"/>
      <c r="QX1" s="261"/>
      <c r="QY1" s="261"/>
      <c r="QZ1" s="261"/>
      <c r="RA1" s="261"/>
      <c r="RB1" s="261"/>
      <c r="RC1" s="261"/>
      <c r="RD1" s="261"/>
      <c r="RE1" s="261"/>
      <c r="RF1" s="261"/>
      <c r="RG1" s="261"/>
      <c r="RH1" s="261"/>
      <c r="RI1" s="261"/>
      <c r="RJ1" s="261"/>
      <c r="RK1" s="261"/>
      <c r="RL1" s="261"/>
      <c r="RM1" s="261"/>
      <c r="RN1" s="261"/>
      <c r="RO1" s="261"/>
      <c r="RP1" s="261"/>
      <c r="RQ1" s="261"/>
      <c r="RR1" s="261"/>
      <c r="RS1" s="261"/>
      <c r="RT1" s="261"/>
      <c r="RU1" s="261"/>
      <c r="RV1" s="261"/>
      <c r="RW1" s="261"/>
      <c r="RX1" s="261"/>
      <c r="RY1" s="261"/>
    </row>
    <row r="2" spans="1:493" s="7" customFormat="1" ht="32.1" customHeight="1">
      <c r="A2" s="569"/>
      <c r="B2" s="569"/>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709" t="s">
        <v>518</v>
      </c>
      <c r="AN2" s="709"/>
      <c r="AO2" s="709"/>
      <c r="AP2" s="709"/>
      <c r="AQ2" s="709"/>
      <c r="AR2" s="709"/>
      <c r="AS2" s="709"/>
      <c r="AT2" s="709"/>
      <c r="AU2" s="709"/>
      <c r="AV2" s="709"/>
      <c r="AW2" s="709" t="s">
        <v>519</v>
      </c>
      <c r="AX2" s="709"/>
      <c r="AY2" s="709"/>
      <c r="AZ2" s="709"/>
      <c r="BA2" s="709"/>
      <c r="BB2" s="709" t="s">
        <v>2</v>
      </c>
      <c r="BC2" s="709"/>
      <c r="BD2" s="709"/>
      <c r="BE2" s="709"/>
      <c r="BF2" s="709"/>
      <c r="BG2" s="709" t="s">
        <v>3</v>
      </c>
      <c r="BH2" s="709"/>
      <c r="BI2" s="709"/>
      <c r="BJ2" s="709"/>
      <c r="BK2" s="709"/>
      <c r="BL2" s="262"/>
      <c r="BM2" s="262"/>
      <c r="BN2" s="262"/>
      <c r="BO2" s="262"/>
      <c r="BP2" s="262"/>
      <c r="BQ2" s="262"/>
      <c r="BR2" s="262"/>
      <c r="BS2" s="262"/>
      <c r="BT2" s="262"/>
      <c r="BU2" s="262"/>
      <c r="BV2" s="262"/>
    </row>
    <row r="3" spans="1:493" s="7" customFormat="1" ht="32.1" customHeight="1">
      <c r="A3" s="571"/>
      <c r="B3" s="571"/>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706" t="s">
        <v>520</v>
      </c>
      <c r="AN3" s="706"/>
      <c r="AO3" s="706"/>
      <c r="AP3" s="706"/>
      <c r="AQ3" s="706"/>
      <c r="AR3" s="706"/>
      <c r="AS3" s="706"/>
      <c r="AT3" s="706"/>
      <c r="AU3" s="706"/>
      <c r="AV3" s="706"/>
      <c r="AW3" s="706" t="s">
        <v>85</v>
      </c>
      <c r="AX3" s="706"/>
      <c r="AY3" s="706"/>
      <c r="AZ3" s="706"/>
      <c r="BA3" s="706"/>
      <c r="BB3" s="706" t="s">
        <v>5</v>
      </c>
      <c r="BC3" s="706"/>
      <c r="BD3" s="706"/>
      <c r="BE3" s="706"/>
      <c r="BF3" s="706"/>
      <c r="BG3" s="706" t="s">
        <v>6</v>
      </c>
      <c r="BH3" s="706"/>
      <c r="BI3" s="706"/>
      <c r="BJ3" s="706"/>
      <c r="BK3" s="706"/>
      <c r="BL3" s="262"/>
      <c r="BM3" s="262"/>
      <c r="BN3" s="262"/>
      <c r="BO3" s="262"/>
      <c r="BP3" s="262"/>
      <c r="BQ3" s="262"/>
      <c r="BR3" s="262"/>
      <c r="BS3" s="262"/>
      <c r="BT3" s="262"/>
      <c r="BU3" s="262"/>
      <c r="BV3" s="262"/>
    </row>
    <row r="4" spans="1:493" s="7" customFormat="1" ht="16.5" customHeight="1">
      <c r="A4" s="573" t="s">
        <v>7</v>
      </c>
      <c r="B4" s="573" t="s">
        <v>7</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5" t="s">
        <v>8</v>
      </c>
      <c r="AN4" s="575" t="s">
        <v>9</v>
      </c>
      <c r="AO4" s="576" t="s">
        <v>10</v>
      </c>
      <c r="AP4" s="575" t="s">
        <v>11</v>
      </c>
      <c r="AQ4" s="575" t="s">
        <v>86</v>
      </c>
      <c r="AR4" s="575"/>
      <c r="AS4" s="575"/>
      <c r="AT4" s="576"/>
      <c r="AU4" s="575"/>
      <c r="AV4" s="577"/>
      <c r="AW4" s="578" t="s">
        <v>8</v>
      </c>
      <c r="AX4" s="578" t="s">
        <v>9</v>
      </c>
      <c r="AY4" s="579" t="s">
        <v>10</v>
      </c>
      <c r="AZ4" s="578" t="s">
        <v>11</v>
      </c>
      <c r="BA4" s="575" t="s">
        <v>12</v>
      </c>
      <c r="BB4" s="578" t="s">
        <v>8</v>
      </c>
      <c r="BC4" s="578" t="s">
        <v>9</v>
      </c>
      <c r="BD4" s="579" t="s">
        <v>10</v>
      </c>
      <c r="BE4" s="578" t="s">
        <v>11</v>
      </c>
      <c r="BF4" s="575" t="s">
        <v>13</v>
      </c>
      <c r="BG4" s="578" t="s">
        <v>8</v>
      </c>
      <c r="BH4" s="578" t="s">
        <v>9</v>
      </c>
      <c r="BI4" s="579" t="s">
        <v>10</v>
      </c>
      <c r="BJ4" s="578" t="s">
        <v>11</v>
      </c>
      <c r="BK4" s="575" t="s">
        <v>407</v>
      </c>
      <c r="BL4" s="262"/>
      <c r="BM4" s="262"/>
      <c r="BN4" s="262"/>
      <c r="BO4" s="262"/>
      <c r="BP4" s="262"/>
      <c r="BQ4" s="262"/>
      <c r="BR4" s="262"/>
      <c r="BS4" s="262"/>
      <c r="BT4" s="262"/>
      <c r="BU4" s="262"/>
      <c r="BV4" s="262"/>
    </row>
    <row r="5" spans="1:493" s="591" customFormat="1" ht="20.25" customHeight="1" thickBot="1">
      <c r="A5" s="585" t="s">
        <v>87</v>
      </c>
      <c r="B5" s="585" t="s">
        <v>88</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7">
        <f>SUM(AM6:AM8)</f>
        <v>2345.9</v>
      </c>
      <c r="AN5" s="587">
        <f>SUM(AN6:AN8)</f>
        <v>2603.1999999999994</v>
      </c>
      <c r="AO5" s="587">
        <f>SUM(AO6:AO8)</f>
        <v>2735</v>
      </c>
      <c r="AP5" s="587">
        <f>SUM(AP6:AP8)</f>
        <v>3002.0000000000014</v>
      </c>
      <c r="AQ5" s="588">
        <f>SUM(AQ6:AQ8)</f>
        <v>10686.1</v>
      </c>
      <c r="AR5" s="587"/>
      <c r="AS5" s="587"/>
      <c r="AT5" s="587"/>
      <c r="AU5" s="587"/>
      <c r="AV5" s="589"/>
      <c r="AW5" s="587">
        <f t="shared" ref="AW5:AZ5" si="0">SUM(AW6:AW8)</f>
        <v>2791.6</v>
      </c>
      <c r="AX5" s="587">
        <f t="shared" si="0"/>
        <v>2923</v>
      </c>
      <c r="AY5" s="587">
        <f t="shared" si="0"/>
        <v>2892.4</v>
      </c>
      <c r="AZ5" s="587">
        <f t="shared" si="0"/>
        <v>3069.0999999999995</v>
      </c>
      <c r="BA5" s="588">
        <f>SUM(BA6:BA8)</f>
        <v>11676.099999999999</v>
      </c>
      <c r="BB5" s="587">
        <f t="shared" ref="BB5:BJ5" si="1">SUM(BB6:BB8)</f>
        <v>2848.5</v>
      </c>
      <c r="BC5" s="587">
        <f t="shared" si="1"/>
        <v>2862.6999999999994</v>
      </c>
      <c r="BD5" s="587">
        <f t="shared" si="1"/>
        <v>3003.5000000000005</v>
      </c>
      <c r="BE5" s="587">
        <f t="shared" si="1"/>
        <v>3248.2000000000003</v>
      </c>
      <c r="BF5" s="588">
        <f>SUM(BF6:BF8)</f>
        <v>11962.9</v>
      </c>
      <c r="BG5" s="587">
        <f t="shared" si="1"/>
        <v>2987.3999999999996</v>
      </c>
      <c r="BH5" s="587">
        <f t="shared" si="1"/>
        <v>3159.7</v>
      </c>
      <c r="BI5" s="587">
        <f t="shared" si="1"/>
        <v>0</v>
      </c>
      <c r="BJ5" s="587">
        <f t="shared" si="1"/>
        <v>0</v>
      </c>
      <c r="BK5" s="588">
        <f>SUM(BK6:BK8)</f>
        <v>6147.0999999999995</v>
      </c>
      <c r="BL5" s="590"/>
      <c r="BM5" s="590"/>
      <c r="BN5" s="590"/>
      <c r="BO5" s="590"/>
      <c r="BP5" s="590"/>
      <c r="BQ5" s="590"/>
      <c r="BR5" s="590"/>
      <c r="BS5" s="590"/>
      <c r="BT5" s="590"/>
      <c r="BU5" s="590"/>
      <c r="BV5" s="590"/>
      <c r="BW5" s="590"/>
      <c r="BX5" s="590"/>
      <c r="BY5" s="590"/>
      <c r="BZ5" s="590"/>
      <c r="CA5" s="590"/>
      <c r="CB5" s="590"/>
      <c r="CC5" s="590"/>
      <c r="CD5" s="590"/>
      <c r="CE5" s="590"/>
      <c r="CF5" s="590"/>
      <c r="CG5" s="590"/>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90"/>
      <c r="DG5" s="590"/>
      <c r="DH5" s="590"/>
      <c r="DI5" s="590"/>
      <c r="DJ5" s="590"/>
      <c r="DK5" s="590"/>
      <c r="DL5" s="590"/>
      <c r="DM5" s="590"/>
      <c r="DN5" s="590"/>
      <c r="DO5" s="590"/>
      <c r="DP5" s="590"/>
      <c r="DQ5" s="590"/>
      <c r="DR5" s="590"/>
      <c r="DS5" s="590"/>
      <c r="DT5" s="590"/>
      <c r="DU5" s="590"/>
      <c r="DV5" s="590"/>
      <c r="DW5" s="590"/>
      <c r="DX5" s="590"/>
      <c r="DY5" s="590"/>
      <c r="DZ5" s="590"/>
      <c r="EA5" s="590"/>
      <c r="EB5" s="590"/>
      <c r="EC5" s="590"/>
      <c r="ED5" s="590"/>
      <c r="EE5" s="590"/>
      <c r="EF5" s="590"/>
      <c r="EG5" s="590"/>
      <c r="EH5" s="590"/>
      <c r="EI5" s="590"/>
      <c r="EJ5" s="590"/>
      <c r="EK5" s="590"/>
      <c r="EL5" s="590"/>
      <c r="EM5" s="590"/>
      <c r="EN5" s="590"/>
      <c r="EO5" s="590"/>
      <c r="EP5" s="590"/>
      <c r="EQ5" s="590"/>
      <c r="ER5" s="590"/>
      <c r="ES5" s="590"/>
      <c r="ET5" s="590"/>
      <c r="EU5" s="590"/>
      <c r="EV5" s="590"/>
      <c r="EW5" s="590"/>
      <c r="EX5" s="590"/>
      <c r="EY5" s="590"/>
      <c r="EZ5" s="590"/>
      <c r="FA5" s="590"/>
      <c r="FB5" s="590"/>
      <c r="FC5" s="590"/>
      <c r="FD5" s="590"/>
      <c r="FE5" s="590"/>
      <c r="FF5" s="590"/>
      <c r="FG5" s="590"/>
      <c r="FH5" s="590"/>
      <c r="FI5" s="590"/>
      <c r="FJ5" s="590"/>
      <c r="FK5" s="590"/>
      <c r="FL5" s="590"/>
      <c r="FM5" s="590"/>
      <c r="FN5" s="590"/>
      <c r="FO5" s="590"/>
      <c r="FP5" s="590"/>
      <c r="FQ5" s="590"/>
      <c r="FR5" s="590"/>
      <c r="FS5" s="590"/>
      <c r="FT5" s="590"/>
      <c r="FU5" s="590"/>
      <c r="FV5" s="590"/>
      <c r="FW5" s="590"/>
      <c r="FX5" s="590"/>
      <c r="FY5" s="590"/>
      <c r="FZ5" s="590"/>
      <c r="GA5" s="590"/>
      <c r="GB5" s="590"/>
      <c r="GC5" s="590"/>
      <c r="GD5" s="590"/>
      <c r="GE5" s="590"/>
      <c r="GF5" s="590"/>
      <c r="GG5" s="590"/>
      <c r="GH5" s="590"/>
      <c r="GI5" s="590"/>
      <c r="GJ5" s="590"/>
      <c r="GK5" s="590"/>
      <c r="GL5" s="590"/>
      <c r="GM5" s="590"/>
      <c r="GN5" s="590"/>
      <c r="GO5" s="590"/>
      <c r="GP5" s="590"/>
      <c r="GQ5" s="590"/>
      <c r="GR5" s="590"/>
      <c r="GS5" s="590"/>
      <c r="GT5" s="590"/>
      <c r="GU5" s="590"/>
      <c r="GV5" s="590"/>
      <c r="GW5" s="590"/>
      <c r="GX5" s="590"/>
      <c r="GY5" s="590"/>
      <c r="GZ5" s="590"/>
      <c r="HA5" s="590"/>
      <c r="HB5" s="590"/>
      <c r="HC5" s="590"/>
      <c r="HD5" s="590"/>
      <c r="HE5" s="590"/>
      <c r="HF5" s="590"/>
      <c r="HG5" s="590"/>
      <c r="HH5" s="590"/>
      <c r="HI5" s="590"/>
      <c r="HJ5" s="590"/>
      <c r="HK5" s="590"/>
      <c r="HL5" s="590"/>
      <c r="HM5" s="590"/>
      <c r="HN5" s="590"/>
      <c r="HO5" s="590"/>
      <c r="HP5" s="590"/>
      <c r="HQ5" s="590"/>
      <c r="HR5" s="590"/>
      <c r="HS5" s="590"/>
      <c r="HT5" s="590"/>
      <c r="HU5" s="590"/>
      <c r="HV5" s="590"/>
      <c r="HW5" s="590"/>
      <c r="HX5" s="590"/>
      <c r="HY5" s="590"/>
      <c r="HZ5" s="590"/>
      <c r="IA5" s="590"/>
      <c r="IB5" s="590"/>
      <c r="IC5" s="590"/>
      <c r="ID5" s="590"/>
      <c r="IE5" s="590"/>
      <c r="IF5" s="590"/>
      <c r="IG5" s="590"/>
      <c r="IH5" s="590"/>
      <c r="II5" s="590"/>
      <c r="IJ5" s="590"/>
      <c r="IK5" s="590"/>
      <c r="IL5" s="590"/>
      <c r="IM5" s="590"/>
      <c r="IN5" s="590"/>
      <c r="IO5" s="590"/>
      <c r="IP5" s="590"/>
      <c r="IQ5" s="590"/>
      <c r="IR5" s="590"/>
      <c r="IS5" s="590"/>
      <c r="IT5" s="590"/>
      <c r="IU5" s="590"/>
      <c r="IV5" s="590"/>
      <c r="IW5" s="590"/>
      <c r="IX5" s="590"/>
      <c r="IY5" s="590"/>
      <c r="IZ5" s="590"/>
      <c r="JA5" s="590"/>
      <c r="JB5" s="590"/>
      <c r="JC5" s="590"/>
      <c r="JD5" s="590"/>
      <c r="JE5" s="590"/>
      <c r="JF5" s="590"/>
      <c r="JG5" s="590"/>
      <c r="JH5" s="590"/>
      <c r="JI5" s="590"/>
      <c r="JJ5" s="590"/>
      <c r="JK5" s="590"/>
      <c r="JL5" s="590"/>
      <c r="JM5" s="590"/>
      <c r="JN5" s="590"/>
      <c r="JO5" s="590"/>
      <c r="JP5" s="590"/>
      <c r="JQ5" s="590"/>
      <c r="JR5" s="590"/>
      <c r="JS5" s="590"/>
      <c r="JT5" s="590"/>
      <c r="JU5" s="590"/>
      <c r="JV5" s="590"/>
      <c r="JW5" s="590"/>
      <c r="JX5" s="590"/>
      <c r="JY5" s="590"/>
      <c r="JZ5" s="590"/>
      <c r="KA5" s="590"/>
      <c r="KB5" s="590"/>
      <c r="KC5" s="590"/>
      <c r="KD5" s="590"/>
      <c r="KE5" s="590"/>
      <c r="KF5" s="590"/>
      <c r="KG5" s="590"/>
      <c r="KH5" s="590"/>
      <c r="KI5" s="590"/>
      <c r="KJ5" s="590"/>
      <c r="KK5" s="590"/>
      <c r="KL5" s="590"/>
      <c r="KM5" s="590"/>
      <c r="KN5" s="590"/>
      <c r="KO5" s="590"/>
      <c r="KP5" s="590"/>
      <c r="KQ5" s="590"/>
      <c r="KR5" s="590"/>
      <c r="KS5" s="590"/>
      <c r="KT5" s="590"/>
      <c r="KU5" s="590"/>
      <c r="KV5" s="590"/>
      <c r="KW5" s="590"/>
      <c r="KX5" s="590"/>
      <c r="KY5" s="590"/>
      <c r="KZ5" s="590"/>
      <c r="LA5" s="590"/>
      <c r="LB5" s="590"/>
      <c r="LC5" s="590"/>
      <c r="LD5" s="590"/>
      <c r="LE5" s="590"/>
      <c r="LF5" s="590"/>
      <c r="LG5" s="590"/>
      <c r="LH5" s="590"/>
      <c r="LI5" s="590"/>
      <c r="LJ5" s="590"/>
      <c r="LK5" s="590"/>
      <c r="LL5" s="590"/>
      <c r="LM5" s="590"/>
      <c r="LN5" s="590"/>
      <c r="LO5" s="590"/>
      <c r="LP5" s="590"/>
      <c r="LQ5" s="590"/>
      <c r="LR5" s="590"/>
      <c r="LS5" s="590"/>
      <c r="LT5" s="590"/>
      <c r="LU5" s="590"/>
      <c r="LV5" s="590"/>
      <c r="LW5" s="590"/>
      <c r="LX5" s="590"/>
      <c r="LY5" s="590"/>
      <c r="LZ5" s="590"/>
      <c r="MA5" s="590"/>
      <c r="MB5" s="590"/>
      <c r="MC5" s="590"/>
      <c r="MD5" s="590"/>
      <c r="ME5" s="590"/>
      <c r="MF5" s="590"/>
      <c r="MG5" s="590"/>
      <c r="MH5" s="590"/>
      <c r="MI5" s="590"/>
      <c r="MJ5" s="590"/>
      <c r="MK5" s="590"/>
      <c r="ML5" s="590"/>
      <c r="MM5" s="590"/>
      <c r="MN5" s="590"/>
      <c r="MO5" s="590"/>
      <c r="MP5" s="590"/>
      <c r="MQ5" s="590"/>
      <c r="MR5" s="590"/>
      <c r="MS5" s="590"/>
      <c r="MT5" s="590"/>
      <c r="MU5" s="590"/>
      <c r="MV5" s="590"/>
      <c r="MW5" s="590"/>
      <c r="MX5" s="590"/>
      <c r="MY5" s="590"/>
      <c r="MZ5" s="590"/>
      <c r="NA5" s="590"/>
      <c r="NB5" s="590"/>
      <c r="NC5" s="590"/>
      <c r="ND5" s="590"/>
      <c r="NE5" s="590"/>
      <c r="NF5" s="590"/>
      <c r="NG5" s="590"/>
      <c r="NH5" s="590"/>
      <c r="NI5" s="590"/>
      <c r="NJ5" s="590"/>
      <c r="NK5" s="590"/>
      <c r="NL5" s="590"/>
      <c r="NM5" s="590"/>
      <c r="NN5" s="590"/>
      <c r="NO5" s="590"/>
      <c r="NP5" s="590"/>
      <c r="NQ5" s="590"/>
      <c r="NR5" s="590"/>
      <c r="NS5" s="590"/>
      <c r="NT5" s="590"/>
      <c r="NU5" s="590"/>
      <c r="NV5" s="590"/>
      <c r="NW5" s="590"/>
      <c r="NX5" s="590"/>
      <c r="NY5" s="590"/>
      <c r="NZ5" s="590"/>
      <c r="OA5" s="590"/>
      <c r="OB5" s="590"/>
      <c r="OC5" s="590"/>
      <c r="OD5" s="590"/>
      <c r="OE5" s="590"/>
      <c r="OF5" s="590"/>
      <c r="OG5" s="590"/>
      <c r="OH5" s="590"/>
      <c r="OI5" s="590"/>
      <c r="OJ5" s="590"/>
      <c r="OK5" s="590"/>
      <c r="OL5" s="590"/>
      <c r="OM5" s="590"/>
      <c r="ON5" s="590"/>
      <c r="OO5" s="590"/>
      <c r="OP5" s="590"/>
      <c r="OQ5" s="590"/>
      <c r="OR5" s="590"/>
      <c r="OS5" s="590"/>
      <c r="OT5" s="590"/>
      <c r="OU5" s="590"/>
      <c r="OV5" s="590"/>
      <c r="OW5" s="590"/>
      <c r="OX5" s="590"/>
      <c r="OY5" s="590"/>
      <c r="OZ5" s="590"/>
      <c r="PA5" s="590"/>
      <c r="PB5" s="590"/>
      <c r="PC5" s="590"/>
      <c r="PD5" s="590"/>
      <c r="PE5" s="590"/>
      <c r="PF5" s="590"/>
      <c r="PG5" s="590"/>
      <c r="PH5" s="590"/>
      <c r="PI5" s="590"/>
      <c r="PJ5" s="590"/>
      <c r="PK5" s="590"/>
      <c r="PL5" s="590"/>
      <c r="PM5" s="590"/>
      <c r="PN5" s="590"/>
      <c r="PO5" s="590"/>
      <c r="PP5" s="590"/>
      <c r="PQ5" s="590"/>
      <c r="PR5" s="590"/>
      <c r="PS5" s="590"/>
      <c r="PT5" s="590"/>
      <c r="PU5" s="590"/>
      <c r="PV5" s="590"/>
      <c r="PW5" s="590"/>
      <c r="PX5" s="590"/>
      <c r="PY5" s="590"/>
      <c r="PZ5" s="590"/>
      <c r="QA5" s="590"/>
      <c r="QB5" s="590"/>
      <c r="QC5" s="590"/>
      <c r="QD5" s="590"/>
      <c r="QE5" s="590"/>
      <c r="QF5" s="590"/>
      <c r="QG5" s="590"/>
      <c r="QH5" s="590"/>
      <c r="QI5" s="590"/>
      <c r="QJ5" s="590"/>
      <c r="QK5" s="590"/>
      <c r="QL5" s="590"/>
      <c r="QM5" s="590"/>
      <c r="QN5" s="590"/>
      <c r="QO5" s="590"/>
      <c r="QP5" s="590"/>
      <c r="QQ5" s="590"/>
      <c r="QR5" s="590"/>
      <c r="QS5" s="590"/>
      <c r="QT5" s="590"/>
      <c r="QU5" s="590"/>
      <c r="QV5" s="590"/>
      <c r="QW5" s="590"/>
      <c r="QX5" s="590"/>
      <c r="QY5" s="590"/>
      <c r="QZ5" s="590"/>
      <c r="RA5" s="590"/>
      <c r="RB5" s="590"/>
      <c r="RC5" s="590"/>
      <c r="RD5" s="590"/>
      <c r="RE5" s="590"/>
      <c r="RF5" s="590"/>
      <c r="RG5" s="590"/>
      <c r="RH5" s="590"/>
      <c r="RI5" s="590"/>
      <c r="RJ5" s="590"/>
      <c r="RK5" s="590"/>
      <c r="RL5" s="590"/>
      <c r="RM5" s="590"/>
      <c r="RN5" s="590"/>
      <c r="RO5" s="590"/>
      <c r="RP5" s="590"/>
      <c r="RQ5" s="590"/>
      <c r="RR5" s="590"/>
      <c r="RS5" s="590"/>
      <c r="RT5" s="590"/>
      <c r="RU5" s="590"/>
      <c r="RV5" s="590"/>
      <c r="RW5" s="590"/>
      <c r="RX5" s="590"/>
      <c r="RY5" s="590"/>
    </row>
    <row r="6" spans="1:493" s="204" customFormat="1" ht="20.100000000000001" customHeight="1">
      <c r="A6" s="198" t="s">
        <v>89</v>
      </c>
      <c r="B6" s="199" t="s">
        <v>90</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1">
        <v>2049.4</v>
      </c>
      <c r="AN6" s="201">
        <v>2247.4999999999995</v>
      </c>
      <c r="AO6" s="201">
        <v>2429.5</v>
      </c>
      <c r="AP6" s="201">
        <v>2504.3000000000011</v>
      </c>
      <c r="AQ6" s="295">
        <f>SUM(AM6:AP6)</f>
        <v>9230.7000000000007</v>
      </c>
      <c r="AR6" s="201"/>
      <c r="AS6" s="201"/>
      <c r="AT6" s="201"/>
      <c r="AU6" s="201"/>
      <c r="AV6" s="202"/>
      <c r="AW6" s="201">
        <v>2398.1999999999998</v>
      </c>
      <c r="AX6" s="201">
        <v>2468.8000000000002</v>
      </c>
      <c r="AY6" s="201">
        <v>2515.3000000000002</v>
      </c>
      <c r="AZ6" s="201">
        <v>2553.0999999999995</v>
      </c>
      <c r="BA6" s="295">
        <f>SUM(AW6:AZ6)</f>
        <v>9935.4</v>
      </c>
      <c r="BB6" s="201">
        <v>2453.4</v>
      </c>
      <c r="BC6" s="201">
        <v>2518.4999999999995</v>
      </c>
      <c r="BD6" s="201">
        <v>2590.3000000000002</v>
      </c>
      <c r="BE6" s="236">
        <v>2668.6</v>
      </c>
      <c r="BF6" s="295">
        <f>SUM(BB6:BE6)</f>
        <v>10230.799999999999</v>
      </c>
      <c r="BG6" s="201">
        <v>2551</v>
      </c>
      <c r="BH6" s="201">
        <f>5211.7-BG6</f>
        <v>2660.7</v>
      </c>
      <c r="BI6" s="201"/>
      <c r="BJ6" s="236"/>
      <c r="BK6" s="295">
        <f>SUM(BG6:BJ6)</f>
        <v>5211.7</v>
      </c>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c r="FF6" s="203"/>
      <c r="FG6" s="203"/>
      <c r="FH6" s="203"/>
      <c r="FI6" s="203"/>
      <c r="FJ6" s="203"/>
      <c r="FK6" s="203"/>
      <c r="FL6" s="203"/>
      <c r="FM6" s="203"/>
      <c r="FN6" s="203"/>
      <c r="FO6" s="203"/>
      <c r="FP6" s="203"/>
      <c r="FQ6" s="203"/>
      <c r="FR6" s="203"/>
      <c r="FS6" s="203"/>
      <c r="FT6" s="203"/>
      <c r="FU6" s="203"/>
      <c r="FV6" s="203"/>
      <c r="FW6" s="203"/>
      <c r="FX6" s="203"/>
      <c r="FY6" s="203"/>
      <c r="FZ6" s="203"/>
      <c r="GA6" s="203"/>
      <c r="GB6" s="203"/>
      <c r="GC6" s="203"/>
      <c r="GD6" s="203"/>
      <c r="GE6" s="203"/>
      <c r="GF6" s="203"/>
      <c r="GG6" s="203"/>
      <c r="GH6" s="203"/>
      <c r="GI6" s="203"/>
      <c r="GJ6" s="203"/>
      <c r="GK6" s="203"/>
      <c r="GL6" s="203"/>
      <c r="GM6" s="203"/>
      <c r="GN6" s="203"/>
      <c r="GO6" s="203"/>
      <c r="GP6" s="203"/>
      <c r="GQ6" s="203"/>
      <c r="GR6" s="203"/>
      <c r="GS6" s="203"/>
      <c r="GT6" s="203"/>
      <c r="GU6" s="203"/>
      <c r="GV6" s="203"/>
      <c r="GW6" s="203"/>
      <c r="GX6" s="203"/>
      <c r="GY6" s="203"/>
      <c r="GZ6" s="203"/>
      <c r="HA6" s="203"/>
      <c r="HB6" s="203"/>
      <c r="HC6" s="203"/>
      <c r="HD6" s="203"/>
      <c r="HE6" s="203"/>
      <c r="HF6" s="203"/>
      <c r="HG6" s="203"/>
      <c r="HH6" s="203"/>
      <c r="HI6" s="203"/>
      <c r="HJ6" s="203"/>
      <c r="HK6" s="203"/>
      <c r="HL6" s="203"/>
      <c r="HM6" s="203"/>
      <c r="HN6" s="203"/>
      <c r="HO6" s="203"/>
      <c r="HP6" s="203"/>
      <c r="HQ6" s="203"/>
      <c r="HR6" s="203"/>
      <c r="HS6" s="203"/>
      <c r="HT6" s="203"/>
      <c r="HU6" s="203"/>
      <c r="HV6" s="203"/>
      <c r="HW6" s="203"/>
      <c r="HX6" s="203"/>
      <c r="HY6" s="203"/>
      <c r="HZ6" s="203"/>
      <c r="IA6" s="203"/>
      <c r="IB6" s="203"/>
      <c r="IC6" s="203"/>
      <c r="ID6" s="203"/>
      <c r="IE6" s="203"/>
      <c r="IF6" s="203"/>
      <c r="IG6" s="203"/>
      <c r="IH6" s="203"/>
      <c r="II6" s="203"/>
      <c r="IJ6" s="203"/>
      <c r="IK6" s="203"/>
      <c r="IL6" s="203"/>
      <c r="IM6" s="203"/>
      <c r="IN6" s="203"/>
      <c r="IO6" s="203"/>
      <c r="IP6" s="203"/>
      <c r="IQ6" s="203"/>
      <c r="IR6" s="203"/>
      <c r="IS6" s="203"/>
      <c r="IT6" s="203"/>
      <c r="IU6" s="203"/>
      <c r="IV6" s="203"/>
      <c r="IW6" s="203"/>
      <c r="IX6" s="203"/>
      <c r="IY6" s="203"/>
      <c r="IZ6" s="203"/>
      <c r="JA6" s="203"/>
      <c r="JB6" s="203"/>
      <c r="JC6" s="203"/>
      <c r="JD6" s="203"/>
      <c r="JE6" s="203"/>
      <c r="JF6" s="203"/>
      <c r="JG6" s="203"/>
      <c r="JH6" s="203"/>
      <c r="JI6" s="203"/>
      <c r="JJ6" s="203"/>
      <c r="JK6" s="203"/>
      <c r="JL6" s="203"/>
      <c r="JM6" s="203"/>
      <c r="JN6" s="203"/>
      <c r="JO6" s="203"/>
      <c r="JP6" s="203"/>
      <c r="JQ6" s="203"/>
      <c r="JR6" s="203"/>
      <c r="JS6" s="203"/>
      <c r="JT6" s="203"/>
      <c r="JU6" s="203"/>
      <c r="JV6" s="203"/>
      <c r="JW6" s="203"/>
      <c r="JX6" s="203"/>
      <c r="JY6" s="203"/>
      <c r="JZ6" s="203"/>
      <c r="KA6" s="203"/>
      <c r="KB6" s="203"/>
      <c r="KC6" s="203"/>
      <c r="KD6" s="203"/>
      <c r="KE6" s="203"/>
      <c r="KF6" s="203"/>
      <c r="KG6" s="203"/>
      <c r="KH6" s="203"/>
      <c r="KI6" s="203"/>
      <c r="KJ6" s="203"/>
      <c r="KK6" s="203"/>
      <c r="KL6" s="203"/>
      <c r="KM6" s="203"/>
      <c r="KN6" s="203"/>
      <c r="KO6" s="203"/>
      <c r="KP6" s="203"/>
      <c r="KQ6" s="203"/>
      <c r="KR6" s="203"/>
      <c r="KS6" s="203"/>
      <c r="KT6" s="203"/>
      <c r="KU6" s="203"/>
      <c r="KV6" s="203"/>
      <c r="KW6" s="203"/>
      <c r="KX6" s="203"/>
      <c r="KY6" s="203"/>
      <c r="KZ6" s="203"/>
      <c r="LA6" s="203"/>
      <c r="LB6" s="203"/>
      <c r="LC6" s="203"/>
      <c r="LD6" s="203"/>
      <c r="LE6" s="203"/>
      <c r="LF6" s="203"/>
      <c r="LG6" s="203"/>
      <c r="LH6" s="203"/>
      <c r="LI6" s="203"/>
      <c r="LJ6" s="203"/>
      <c r="LK6" s="203"/>
      <c r="LL6" s="203"/>
      <c r="LM6" s="203"/>
      <c r="LN6" s="203"/>
      <c r="LO6" s="203"/>
      <c r="LP6" s="203"/>
      <c r="LQ6" s="203"/>
      <c r="LR6" s="203"/>
      <c r="LS6" s="203"/>
      <c r="LT6" s="203"/>
      <c r="LU6" s="203"/>
      <c r="LV6" s="203"/>
      <c r="LW6" s="203"/>
      <c r="LX6" s="203"/>
      <c r="LY6" s="203"/>
      <c r="LZ6" s="203"/>
      <c r="MA6" s="203"/>
      <c r="MB6" s="203"/>
      <c r="MC6" s="203"/>
      <c r="MD6" s="203"/>
      <c r="ME6" s="203"/>
      <c r="MF6" s="203"/>
      <c r="MG6" s="203"/>
      <c r="MH6" s="203"/>
      <c r="MI6" s="203"/>
      <c r="MJ6" s="203"/>
      <c r="MK6" s="203"/>
      <c r="ML6" s="203"/>
      <c r="MM6" s="203"/>
      <c r="MN6" s="203"/>
      <c r="MO6" s="203"/>
      <c r="MP6" s="203"/>
      <c r="MQ6" s="203"/>
      <c r="MR6" s="203"/>
      <c r="MS6" s="203"/>
      <c r="MT6" s="203"/>
      <c r="MU6" s="203"/>
      <c r="MV6" s="203"/>
      <c r="MW6" s="203"/>
      <c r="MX6" s="203"/>
      <c r="MY6" s="203"/>
      <c r="MZ6" s="203"/>
      <c r="NA6" s="203"/>
      <c r="NB6" s="203"/>
      <c r="NC6" s="203"/>
      <c r="ND6" s="203"/>
      <c r="NE6" s="203"/>
      <c r="NF6" s="203"/>
      <c r="NG6" s="203"/>
      <c r="NH6" s="203"/>
      <c r="NI6" s="203"/>
      <c r="NJ6" s="203"/>
      <c r="NK6" s="203"/>
      <c r="NL6" s="203"/>
      <c r="NM6" s="203"/>
      <c r="NN6" s="203"/>
      <c r="NO6" s="203"/>
      <c r="NP6" s="203"/>
      <c r="NQ6" s="203"/>
      <c r="NR6" s="203"/>
      <c r="NS6" s="203"/>
      <c r="NT6" s="203"/>
      <c r="NU6" s="203"/>
      <c r="NV6" s="203"/>
      <c r="NW6" s="203"/>
      <c r="NX6" s="203"/>
      <c r="NY6" s="203"/>
      <c r="NZ6" s="203"/>
      <c r="OA6" s="203"/>
      <c r="OB6" s="203"/>
      <c r="OC6" s="203"/>
      <c r="OD6" s="203"/>
      <c r="OE6" s="203"/>
      <c r="OF6" s="203"/>
      <c r="OG6" s="203"/>
      <c r="OH6" s="203"/>
      <c r="OI6" s="203"/>
      <c r="OJ6" s="203"/>
      <c r="OK6" s="203"/>
      <c r="OL6" s="203"/>
      <c r="OM6" s="203"/>
      <c r="ON6" s="203"/>
      <c r="OO6" s="203"/>
      <c r="OP6" s="203"/>
      <c r="OQ6" s="203"/>
      <c r="OR6" s="203"/>
      <c r="OS6" s="203"/>
      <c r="OT6" s="203"/>
      <c r="OU6" s="203"/>
      <c r="OV6" s="203"/>
      <c r="OW6" s="203"/>
      <c r="OX6" s="203"/>
      <c r="OY6" s="203"/>
      <c r="OZ6" s="203"/>
      <c r="PA6" s="203"/>
      <c r="PB6" s="203"/>
      <c r="PC6" s="203"/>
      <c r="PD6" s="203"/>
      <c r="PE6" s="203"/>
      <c r="PF6" s="203"/>
      <c r="PG6" s="203"/>
      <c r="PH6" s="203"/>
      <c r="PI6" s="203"/>
      <c r="PJ6" s="203"/>
      <c r="PK6" s="203"/>
      <c r="PL6" s="203"/>
      <c r="PM6" s="203"/>
      <c r="PN6" s="203"/>
      <c r="PO6" s="203"/>
      <c r="PP6" s="203"/>
      <c r="PQ6" s="203"/>
      <c r="PR6" s="203"/>
      <c r="PS6" s="203"/>
      <c r="PT6" s="203"/>
      <c r="PU6" s="203"/>
      <c r="PV6" s="203"/>
      <c r="PW6" s="203"/>
      <c r="PX6" s="203"/>
      <c r="PY6" s="203"/>
      <c r="PZ6" s="203"/>
      <c r="QA6" s="203"/>
      <c r="QB6" s="203"/>
      <c r="QC6" s="203"/>
      <c r="QD6" s="203"/>
      <c r="QE6" s="203"/>
      <c r="QF6" s="203"/>
      <c r="QG6" s="203"/>
      <c r="QH6" s="203"/>
      <c r="QI6" s="203"/>
      <c r="QJ6" s="203"/>
      <c r="QK6" s="203"/>
      <c r="QL6" s="203"/>
      <c r="QM6" s="203"/>
      <c r="QN6" s="203"/>
      <c r="QO6" s="203"/>
      <c r="QP6" s="203"/>
      <c r="QQ6" s="203"/>
      <c r="QR6" s="203"/>
      <c r="QS6" s="203"/>
      <c r="QT6" s="203"/>
      <c r="QU6" s="203"/>
      <c r="QV6" s="203"/>
      <c r="QW6" s="203"/>
      <c r="QX6" s="203"/>
      <c r="QY6" s="203"/>
      <c r="QZ6" s="203"/>
      <c r="RA6" s="203"/>
      <c r="RB6" s="203"/>
      <c r="RC6" s="203"/>
      <c r="RD6" s="203"/>
      <c r="RE6" s="203"/>
      <c r="RF6" s="203"/>
      <c r="RG6" s="203"/>
      <c r="RH6" s="203"/>
      <c r="RI6" s="203"/>
      <c r="RJ6" s="203"/>
      <c r="RK6" s="203"/>
      <c r="RL6" s="203"/>
      <c r="RM6" s="203"/>
      <c r="RN6" s="203"/>
      <c r="RO6" s="203"/>
      <c r="RP6" s="203"/>
      <c r="RQ6" s="203"/>
      <c r="RR6" s="203"/>
      <c r="RS6" s="203"/>
      <c r="RT6" s="203"/>
      <c r="RU6" s="203"/>
      <c r="RV6" s="203"/>
      <c r="RW6" s="203"/>
      <c r="RX6" s="203"/>
      <c r="RY6" s="203"/>
    </row>
    <row r="7" spans="1:493" s="204" customFormat="1" ht="20.100000000000001" customHeight="1">
      <c r="A7" s="198" t="s">
        <v>91</v>
      </c>
      <c r="B7" s="199" t="s">
        <v>92</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1">
        <v>349.6</v>
      </c>
      <c r="AN7" s="201">
        <v>412.69999999999993</v>
      </c>
      <c r="AO7" s="201">
        <v>375.20000000000005</v>
      </c>
      <c r="AP7" s="201">
        <v>558.40000000000009</v>
      </c>
      <c r="AQ7" s="295">
        <f t="shared" ref="AQ7:AQ8" si="2">SUM(AM7:AP7)</f>
        <v>1695.9</v>
      </c>
      <c r="AR7" s="201"/>
      <c r="AS7" s="201"/>
      <c r="AT7" s="201"/>
      <c r="AU7" s="201"/>
      <c r="AV7" s="202"/>
      <c r="AW7" s="201">
        <v>454.6</v>
      </c>
      <c r="AX7" s="201">
        <v>520.19999999999993</v>
      </c>
      <c r="AY7" s="201">
        <v>440.70000000000005</v>
      </c>
      <c r="AZ7" s="201">
        <v>582.40000000000009</v>
      </c>
      <c r="BA7" s="295">
        <f t="shared" ref="BA7:BA8" si="3">SUM(AW7:AZ7)</f>
        <v>1997.9</v>
      </c>
      <c r="BB7" s="201">
        <v>460.6</v>
      </c>
      <c r="BC7" s="201">
        <v>412.19999999999993</v>
      </c>
      <c r="BD7" s="201">
        <v>481.90000000000009</v>
      </c>
      <c r="BE7" s="236">
        <v>652.20000000000005</v>
      </c>
      <c r="BF7" s="295">
        <f t="shared" ref="BF7:BF8" si="4">SUM(BB7:BE7)</f>
        <v>2006.9</v>
      </c>
      <c r="BG7" s="201">
        <v>507.2</v>
      </c>
      <c r="BH7" s="201">
        <f>1077.2-BG7</f>
        <v>570</v>
      </c>
      <c r="BI7" s="201"/>
      <c r="BJ7" s="236"/>
      <c r="BK7" s="295">
        <f t="shared" ref="BK7:BK8" si="5">SUM(BG7:BJ7)</f>
        <v>1077.2</v>
      </c>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c r="DS7" s="203"/>
      <c r="DT7" s="203"/>
      <c r="DU7" s="203"/>
      <c r="DV7" s="203"/>
      <c r="DW7" s="203"/>
      <c r="DX7" s="203"/>
      <c r="DY7" s="203"/>
      <c r="DZ7" s="203"/>
      <c r="EA7" s="203"/>
      <c r="EB7" s="203"/>
      <c r="EC7" s="203"/>
      <c r="ED7" s="203"/>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3"/>
      <c r="GQ7" s="203"/>
      <c r="GR7" s="203"/>
      <c r="GS7" s="203"/>
      <c r="GT7" s="203"/>
      <c r="GU7" s="203"/>
      <c r="GV7" s="203"/>
      <c r="GW7" s="203"/>
      <c r="GX7" s="203"/>
      <c r="GY7" s="203"/>
      <c r="GZ7" s="203"/>
      <c r="HA7" s="203"/>
      <c r="HB7" s="203"/>
      <c r="HC7" s="203"/>
      <c r="HD7" s="203"/>
      <c r="HE7" s="203"/>
      <c r="HF7" s="203"/>
      <c r="HG7" s="203"/>
      <c r="HH7" s="203"/>
      <c r="HI7" s="203"/>
      <c r="HJ7" s="203"/>
      <c r="HK7" s="203"/>
      <c r="HL7" s="203"/>
      <c r="HM7" s="203"/>
      <c r="HN7" s="203"/>
      <c r="HO7" s="203"/>
      <c r="HP7" s="203"/>
      <c r="HQ7" s="203"/>
      <c r="HR7" s="203"/>
      <c r="HS7" s="203"/>
      <c r="HT7" s="203"/>
      <c r="HU7" s="203"/>
      <c r="HV7" s="203"/>
      <c r="HW7" s="203"/>
      <c r="HX7" s="203"/>
      <c r="HY7" s="203"/>
      <c r="HZ7" s="203"/>
      <c r="IA7" s="203"/>
      <c r="IB7" s="203"/>
      <c r="IC7" s="203"/>
      <c r="ID7" s="203"/>
      <c r="IE7" s="203"/>
      <c r="IF7" s="203"/>
      <c r="IG7" s="203"/>
      <c r="IH7" s="203"/>
      <c r="II7" s="203"/>
      <c r="IJ7" s="203"/>
      <c r="IK7" s="203"/>
      <c r="IL7" s="203"/>
      <c r="IM7" s="203"/>
      <c r="IN7" s="203"/>
      <c r="IO7" s="203"/>
      <c r="IP7" s="203"/>
      <c r="IQ7" s="203"/>
      <c r="IR7" s="203"/>
      <c r="IS7" s="203"/>
      <c r="IT7" s="203"/>
      <c r="IU7" s="203"/>
      <c r="IV7" s="203"/>
      <c r="IW7" s="203"/>
      <c r="IX7" s="203"/>
      <c r="IY7" s="203"/>
      <c r="IZ7" s="203"/>
      <c r="JA7" s="203"/>
      <c r="JB7" s="203"/>
      <c r="JC7" s="203"/>
      <c r="JD7" s="203"/>
      <c r="JE7" s="203"/>
      <c r="JF7" s="203"/>
      <c r="JG7" s="203"/>
      <c r="JH7" s="203"/>
      <c r="JI7" s="203"/>
      <c r="JJ7" s="203"/>
      <c r="JK7" s="203"/>
      <c r="JL7" s="203"/>
      <c r="JM7" s="203"/>
      <c r="JN7" s="203"/>
      <c r="JO7" s="203"/>
      <c r="JP7" s="203"/>
      <c r="JQ7" s="203"/>
      <c r="JR7" s="203"/>
      <c r="JS7" s="203"/>
      <c r="JT7" s="203"/>
      <c r="JU7" s="203"/>
      <c r="JV7" s="203"/>
      <c r="JW7" s="203"/>
      <c r="JX7" s="203"/>
      <c r="JY7" s="203"/>
      <c r="JZ7" s="203"/>
      <c r="KA7" s="203"/>
      <c r="KB7" s="203"/>
      <c r="KC7" s="203"/>
      <c r="KD7" s="203"/>
      <c r="KE7" s="203"/>
      <c r="KF7" s="203"/>
      <c r="KG7" s="203"/>
      <c r="KH7" s="203"/>
      <c r="KI7" s="203"/>
      <c r="KJ7" s="203"/>
      <c r="KK7" s="203"/>
      <c r="KL7" s="203"/>
      <c r="KM7" s="203"/>
      <c r="KN7" s="203"/>
      <c r="KO7" s="203"/>
      <c r="KP7" s="203"/>
      <c r="KQ7" s="203"/>
      <c r="KR7" s="203"/>
      <c r="KS7" s="203"/>
      <c r="KT7" s="203"/>
      <c r="KU7" s="203"/>
      <c r="KV7" s="203"/>
      <c r="KW7" s="203"/>
      <c r="KX7" s="203"/>
      <c r="KY7" s="203"/>
      <c r="KZ7" s="203"/>
      <c r="LA7" s="203"/>
      <c r="LB7" s="203"/>
      <c r="LC7" s="203"/>
      <c r="LD7" s="203"/>
      <c r="LE7" s="203"/>
      <c r="LF7" s="203"/>
      <c r="LG7" s="203"/>
      <c r="LH7" s="203"/>
      <c r="LI7" s="203"/>
      <c r="LJ7" s="203"/>
      <c r="LK7" s="203"/>
      <c r="LL7" s="203"/>
      <c r="LM7" s="203"/>
      <c r="LN7" s="203"/>
      <c r="LO7" s="203"/>
      <c r="LP7" s="203"/>
      <c r="LQ7" s="203"/>
      <c r="LR7" s="203"/>
      <c r="LS7" s="203"/>
      <c r="LT7" s="203"/>
      <c r="LU7" s="203"/>
      <c r="LV7" s="203"/>
      <c r="LW7" s="203"/>
      <c r="LX7" s="203"/>
      <c r="LY7" s="203"/>
      <c r="LZ7" s="203"/>
      <c r="MA7" s="203"/>
      <c r="MB7" s="203"/>
      <c r="MC7" s="203"/>
      <c r="MD7" s="203"/>
      <c r="ME7" s="203"/>
      <c r="MF7" s="203"/>
      <c r="MG7" s="203"/>
      <c r="MH7" s="203"/>
      <c r="MI7" s="203"/>
      <c r="MJ7" s="203"/>
      <c r="MK7" s="203"/>
      <c r="ML7" s="203"/>
      <c r="MM7" s="203"/>
      <c r="MN7" s="203"/>
      <c r="MO7" s="203"/>
      <c r="MP7" s="203"/>
      <c r="MQ7" s="203"/>
      <c r="MR7" s="203"/>
      <c r="MS7" s="203"/>
      <c r="MT7" s="203"/>
      <c r="MU7" s="203"/>
      <c r="MV7" s="203"/>
      <c r="MW7" s="203"/>
      <c r="MX7" s="203"/>
      <c r="MY7" s="203"/>
      <c r="MZ7" s="203"/>
      <c r="NA7" s="203"/>
      <c r="NB7" s="203"/>
      <c r="NC7" s="203"/>
      <c r="ND7" s="203"/>
      <c r="NE7" s="203"/>
      <c r="NF7" s="203"/>
      <c r="NG7" s="203"/>
      <c r="NH7" s="203"/>
      <c r="NI7" s="203"/>
      <c r="NJ7" s="203"/>
      <c r="NK7" s="203"/>
      <c r="NL7" s="203"/>
      <c r="NM7" s="203"/>
      <c r="NN7" s="203"/>
      <c r="NO7" s="203"/>
      <c r="NP7" s="203"/>
      <c r="NQ7" s="203"/>
      <c r="NR7" s="203"/>
      <c r="NS7" s="203"/>
      <c r="NT7" s="203"/>
      <c r="NU7" s="203"/>
      <c r="NV7" s="203"/>
      <c r="NW7" s="203"/>
      <c r="NX7" s="203"/>
      <c r="NY7" s="203"/>
      <c r="NZ7" s="203"/>
      <c r="OA7" s="203"/>
      <c r="OB7" s="203"/>
      <c r="OC7" s="203"/>
      <c r="OD7" s="203"/>
      <c r="OE7" s="203"/>
      <c r="OF7" s="203"/>
      <c r="OG7" s="203"/>
      <c r="OH7" s="203"/>
      <c r="OI7" s="203"/>
      <c r="OJ7" s="203"/>
      <c r="OK7" s="203"/>
      <c r="OL7" s="203"/>
      <c r="OM7" s="203"/>
      <c r="ON7" s="203"/>
      <c r="OO7" s="203"/>
      <c r="OP7" s="203"/>
      <c r="OQ7" s="203"/>
      <c r="OR7" s="203"/>
      <c r="OS7" s="203"/>
      <c r="OT7" s="203"/>
      <c r="OU7" s="203"/>
      <c r="OV7" s="203"/>
      <c r="OW7" s="203"/>
      <c r="OX7" s="203"/>
      <c r="OY7" s="203"/>
      <c r="OZ7" s="203"/>
      <c r="PA7" s="203"/>
      <c r="PB7" s="203"/>
      <c r="PC7" s="203"/>
      <c r="PD7" s="203"/>
      <c r="PE7" s="203"/>
      <c r="PF7" s="203"/>
      <c r="PG7" s="203"/>
      <c r="PH7" s="203"/>
      <c r="PI7" s="203"/>
      <c r="PJ7" s="203"/>
      <c r="PK7" s="203"/>
      <c r="PL7" s="203"/>
      <c r="PM7" s="203"/>
      <c r="PN7" s="203"/>
      <c r="PO7" s="203"/>
      <c r="PP7" s="203"/>
      <c r="PQ7" s="203"/>
      <c r="PR7" s="203"/>
      <c r="PS7" s="203"/>
      <c r="PT7" s="203"/>
      <c r="PU7" s="203"/>
      <c r="PV7" s="203"/>
      <c r="PW7" s="203"/>
      <c r="PX7" s="203"/>
      <c r="PY7" s="203"/>
      <c r="PZ7" s="203"/>
      <c r="QA7" s="203"/>
      <c r="QB7" s="203"/>
      <c r="QC7" s="203"/>
      <c r="QD7" s="203"/>
      <c r="QE7" s="203"/>
      <c r="QF7" s="203"/>
      <c r="QG7" s="203"/>
      <c r="QH7" s="203"/>
      <c r="QI7" s="203"/>
      <c r="QJ7" s="203"/>
      <c r="QK7" s="203"/>
      <c r="QL7" s="203"/>
      <c r="QM7" s="203"/>
      <c r="QN7" s="203"/>
      <c r="QO7" s="203"/>
      <c r="QP7" s="203"/>
      <c r="QQ7" s="203"/>
      <c r="QR7" s="203"/>
      <c r="QS7" s="203"/>
      <c r="QT7" s="203"/>
      <c r="QU7" s="203"/>
      <c r="QV7" s="203"/>
      <c r="QW7" s="203"/>
      <c r="QX7" s="203"/>
      <c r="QY7" s="203"/>
      <c r="QZ7" s="203"/>
      <c r="RA7" s="203"/>
      <c r="RB7" s="203"/>
      <c r="RC7" s="203"/>
      <c r="RD7" s="203"/>
      <c r="RE7" s="203"/>
      <c r="RF7" s="203"/>
      <c r="RG7" s="203"/>
      <c r="RH7" s="203"/>
      <c r="RI7" s="203"/>
      <c r="RJ7" s="203"/>
      <c r="RK7" s="203"/>
      <c r="RL7" s="203"/>
      <c r="RM7" s="203"/>
      <c r="RN7" s="203"/>
      <c r="RO7" s="203"/>
      <c r="RP7" s="203"/>
      <c r="RQ7" s="203"/>
      <c r="RR7" s="203"/>
      <c r="RS7" s="203"/>
      <c r="RT7" s="203"/>
      <c r="RU7" s="203"/>
      <c r="RV7" s="203"/>
      <c r="RW7" s="203"/>
      <c r="RX7" s="203"/>
      <c r="RY7" s="203"/>
    </row>
    <row r="8" spans="1:493" s="204" customFormat="1" ht="20.100000000000001" customHeight="1" thickBot="1">
      <c r="A8" s="198" t="s">
        <v>93</v>
      </c>
      <c r="B8" s="199" t="s">
        <v>94</v>
      </c>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13">
        <v>-53.1</v>
      </c>
      <c r="AN8" s="213">
        <v>-56.999999999999993</v>
      </c>
      <c r="AO8" s="213">
        <v>-69.700000000000017</v>
      </c>
      <c r="AP8" s="213">
        <v>-60.699999999999989</v>
      </c>
      <c r="AQ8" s="295">
        <f t="shared" si="2"/>
        <v>-240.5</v>
      </c>
      <c r="AR8" s="213"/>
      <c r="AS8" s="213"/>
      <c r="AT8" s="213"/>
      <c r="AU8" s="213"/>
      <c r="AV8" s="214"/>
      <c r="AW8" s="213">
        <v>-61.2</v>
      </c>
      <c r="AX8" s="213">
        <v>-66</v>
      </c>
      <c r="AY8" s="213">
        <v>-63.600000000000009</v>
      </c>
      <c r="AZ8" s="213">
        <v>-66.399999999999977</v>
      </c>
      <c r="BA8" s="295">
        <f t="shared" si="3"/>
        <v>-257.2</v>
      </c>
      <c r="BB8" s="213">
        <v>-65.5</v>
      </c>
      <c r="BC8" s="213">
        <v>-68</v>
      </c>
      <c r="BD8" s="213">
        <v>-68.699999999999989</v>
      </c>
      <c r="BE8" s="213">
        <v>-72.599999999999994</v>
      </c>
      <c r="BF8" s="295">
        <f t="shared" si="4"/>
        <v>-274.79999999999995</v>
      </c>
      <c r="BG8" s="213">
        <v>-70.8</v>
      </c>
      <c r="BH8" s="213">
        <f>-141.8-BG8</f>
        <v>-71.000000000000014</v>
      </c>
      <c r="BI8" s="213"/>
      <c r="BJ8" s="213"/>
      <c r="BK8" s="295">
        <f t="shared" si="5"/>
        <v>-141.80000000000001</v>
      </c>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3"/>
      <c r="GQ8" s="203"/>
      <c r="GR8" s="203"/>
      <c r="GS8" s="203"/>
      <c r="GT8" s="203"/>
      <c r="GU8" s="203"/>
      <c r="GV8" s="203"/>
      <c r="GW8" s="203"/>
      <c r="GX8" s="203"/>
      <c r="GY8" s="203"/>
      <c r="GZ8" s="203"/>
      <c r="HA8" s="203"/>
      <c r="HB8" s="203"/>
      <c r="HC8" s="203"/>
      <c r="HD8" s="203"/>
      <c r="HE8" s="203"/>
      <c r="HF8" s="203"/>
      <c r="HG8" s="203"/>
      <c r="HH8" s="203"/>
      <c r="HI8" s="203"/>
      <c r="HJ8" s="203"/>
      <c r="HK8" s="203"/>
      <c r="HL8" s="203"/>
      <c r="HM8" s="203"/>
      <c r="HN8" s="203"/>
      <c r="HO8" s="203"/>
      <c r="HP8" s="203"/>
      <c r="HQ8" s="203"/>
      <c r="HR8" s="203"/>
      <c r="HS8" s="203"/>
      <c r="HT8" s="203"/>
      <c r="HU8" s="203"/>
      <c r="HV8" s="203"/>
      <c r="HW8" s="203"/>
      <c r="HX8" s="203"/>
      <c r="HY8" s="203"/>
      <c r="HZ8" s="203"/>
      <c r="IA8" s="203"/>
      <c r="IB8" s="203"/>
      <c r="IC8" s="203"/>
      <c r="ID8" s="203"/>
      <c r="IE8" s="203"/>
      <c r="IF8" s="203"/>
      <c r="IG8" s="203"/>
      <c r="IH8" s="203"/>
      <c r="II8" s="203"/>
      <c r="IJ8" s="203"/>
      <c r="IK8" s="203"/>
      <c r="IL8" s="203"/>
      <c r="IM8" s="203"/>
      <c r="IN8" s="203"/>
      <c r="IO8" s="203"/>
      <c r="IP8" s="203"/>
      <c r="IQ8" s="203"/>
      <c r="IR8" s="203"/>
      <c r="IS8" s="203"/>
      <c r="IT8" s="203"/>
      <c r="IU8" s="203"/>
      <c r="IV8" s="203"/>
      <c r="IW8" s="203"/>
      <c r="IX8" s="203"/>
      <c r="IY8" s="203"/>
      <c r="IZ8" s="203"/>
      <c r="JA8" s="203"/>
      <c r="JB8" s="203"/>
      <c r="JC8" s="203"/>
      <c r="JD8" s="203"/>
      <c r="JE8" s="203"/>
      <c r="JF8" s="203"/>
      <c r="JG8" s="203"/>
      <c r="JH8" s="203"/>
      <c r="JI8" s="203"/>
      <c r="JJ8" s="203"/>
      <c r="JK8" s="203"/>
      <c r="JL8" s="203"/>
      <c r="JM8" s="203"/>
      <c r="JN8" s="203"/>
      <c r="JO8" s="203"/>
      <c r="JP8" s="203"/>
      <c r="JQ8" s="203"/>
      <c r="JR8" s="203"/>
      <c r="JS8" s="203"/>
      <c r="JT8" s="203"/>
      <c r="JU8" s="203"/>
      <c r="JV8" s="203"/>
      <c r="JW8" s="203"/>
      <c r="JX8" s="203"/>
      <c r="JY8" s="203"/>
      <c r="JZ8" s="203"/>
      <c r="KA8" s="203"/>
      <c r="KB8" s="203"/>
      <c r="KC8" s="203"/>
      <c r="KD8" s="203"/>
      <c r="KE8" s="203"/>
      <c r="KF8" s="203"/>
      <c r="KG8" s="203"/>
      <c r="KH8" s="203"/>
      <c r="KI8" s="203"/>
      <c r="KJ8" s="203"/>
      <c r="KK8" s="203"/>
      <c r="KL8" s="203"/>
      <c r="KM8" s="203"/>
      <c r="KN8" s="203"/>
      <c r="KO8" s="203"/>
      <c r="KP8" s="203"/>
      <c r="KQ8" s="203"/>
      <c r="KR8" s="203"/>
      <c r="KS8" s="203"/>
      <c r="KT8" s="203"/>
      <c r="KU8" s="203"/>
      <c r="KV8" s="203"/>
      <c r="KW8" s="203"/>
      <c r="KX8" s="203"/>
      <c r="KY8" s="203"/>
      <c r="KZ8" s="203"/>
      <c r="LA8" s="203"/>
      <c r="LB8" s="203"/>
      <c r="LC8" s="203"/>
      <c r="LD8" s="203"/>
      <c r="LE8" s="203"/>
      <c r="LF8" s="203"/>
      <c r="LG8" s="203"/>
      <c r="LH8" s="203"/>
      <c r="LI8" s="203"/>
      <c r="LJ8" s="203"/>
      <c r="LK8" s="203"/>
      <c r="LL8" s="203"/>
      <c r="LM8" s="203"/>
      <c r="LN8" s="203"/>
      <c r="LO8" s="203"/>
      <c r="LP8" s="203"/>
      <c r="LQ8" s="203"/>
      <c r="LR8" s="203"/>
      <c r="LS8" s="203"/>
      <c r="LT8" s="203"/>
      <c r="LU8" s="203"/>
      <c r="LV8" s="203"/>
      <c r="LW8" s="203"/>
      <c r="LX8" s="203"/>
      <c r="LY8" s="203"/>
      <c r="LZ8" s="203"/>
      <c r="MA8" s="203"/>
      <c r="MB8" s="203"/>
      <c r="MC8" s="203"/>
      <c r="MD8" s="203"/>
      <c r="ME8" s="203"/>
      <c r="MF8" s="203"/>
      <c r="MG8" s="203"/>
      <c r="MH8" s="203"/>
      <c r="MI8" s="203"/>
      <c r="MJ8" s="203"/>
      <c r="MK8" s="203"/>
      <c r="ML8" s="203"/>
      <c r="MM8" s="203"/>
      <c r="MN8" s="203"/>
      <c r="MO8" s="203"/>
      <c r="MP8" s="203"/>
      <c r="MQ8" s="203"/>
      <c r="MR8" s="203"/>
      <c r="MS8" s="203"/>
      <c r="MT8" s="203"/>
      <c r="MU8" s="203"/>
      <c r="MV8" s="203"/>
      <c r="MW8" s="203"/>
      <c r="MX8" s="203"/>
      <c r="MY8" s="203"/>
      <c r="MZ8" s="203"/>
      <c r="NA8" s="203"/>
      <c r="NB8" s="203"/>
      <c r="NC8" s="203"/>
      <c r="ND8" s="203"/>
      <c r="NE8" s="203"/>
      <c r="NF8" s="203"/>
      <c r="NG8" s="203"/>
      <c r="NH8" s="203"/>
      <c r="NI8" s="203"/>
      <c r="NJ8" s="203"/>
      <c r="NK8" s="203"/>
      <c r="NL8" s="203"/>
      <c r="NM8" s="203"/>
      <c r="NN8" s="203"/>
      <c r="NO8" s="203"/>
      <c r="NP8" s="203"/>
      <c r="NQ8" s="203"/>
      <c r="NR8" s="203"/>
      <c r="NS8" s="203"/>
      <c r="NT8" s="203"/>
      <c r="NU8" s="203"/>
      <c r="NV8" s="203"/>
      <c r="NW8" s="203"/>
      <c r="NX8" s="203"/>
      <c r="NY8" s="203"/>
      <c r="NZ8" s="203"/>
      <c r="OA8" s="203"/>
      <c r="OB8" s="203"/>
      <c r="OC8" s="203"/>
      <c r="OD8" s="203"/>
      <c r="OE8" s="203"/>
      <c r="OF8" s="203"/>
      <c r="OG8" s="203"/>
      <c r="OH8" s="203"/>
      <c r="OI8" s="203"/>
      <c r="OJ8" s="203"/>
      <c r="OK8" s="203"/>
      <c r="OL8" s="203"/>
      <c r="OM8" s="203"/>
      <c r="ON8" s="203"/>
      <c r="OO8" s="203"/>
      <c r="OP8" s="203"/>
      <c r="OQ8" s="203"/>
      <c r="OR8" s="203"/>
      <c r="OS8" s="203"/>
      <c r="OT8" s="203"/>
      <c r="OU8" s="203"/>
      <c r="OV8" s="203"/>
      <c r="OW8" s="203"/>
      <c r="OX8" s="203"/>
      <c r="OY8" s="203"/>
      <c r="OZ8" s="203"/>
      <c r="PA8" s="203"/>
      <c r="PB8" s="203"/>
      <c r="PC8" s="203"/>
      <c r="PD8" s="203"/>
      <c r="PE8" s="203"/>
      <c r="PF8" s="203"/>
      <c r="PG8" s="203"/>
      <c r="PH8" s="203"/>
      <c r="PI8" s="203"/>
      <c r="PJ8" s="203"/>
      <c r="PK8" s="203"/>
      <c r="PL8" s="203"/>
      <c r="PM8" s="203"/>
      <c r="PN8" s="203"/>
      <c r="PO8" s="203"/>
      <c r="PP8" s="203"/>
      <c r="PQ8" s="203"/>
      <c r="PR8" s="203"/>
      <c r="PS8" s="203"/>
      <c r="PT8" s="203"/>
      <c r="PU8" s="203"/>
      <c r="PV8" s="203"/>
      <c r="PW8" s="203"/>
      <c r="PX8" s="203"/>
      <c r="PY8" s="203"/>
      <c r="PZ8" s="203"/>
      <c r="QA8" s="203"/>
      <c r="QB8" s="203"/>
      <c r="QC8" s="203"/>
      <c r="QD8" s="203"/>
      <c r="QE8" s="203"/>
      <c r="QF8" s="203"/>
      <c r="QG8" s="203"/>
      <c r="QH8" s="203"/>
      <c r="QI8" s="203"/>
      <c r="QJ8" s="203"/>
      <c r="QK8" s="203"/>
      <c r="QL8" s="203"/>
      <c r="QM8" s="203"/>
      <c r="QN8" s="203"/>
      <c r="QO8" s="203"/>
      <c r="QP8" s="203"/>
      <c r="QQ8" s="203"/>
      <c r="QR8" s="203"/>
      <c r="QS8" s="203"/>
      <c r="QT8" s="203"/>
      <c r="QU8" s="203"/>
      <c r="QV8" s="203"/>
      <c r="QW8" s="203"/>
      <c r="QX8" s="203"/>
      <c r="QY8" s="203"/>
      <c r="QZ8" s="203"/>
      <c r="RA8" s="203"/>
      <c r="RB8" s="203"/>
      <c r="RC8" s="203"/>
      <c r="RD8" s="203"/>
      <c r="RE8" s="203"/>
      <c r="RF8" s="203"/>
      <c r="RG8" s="203"/>
      <c r="RH8" s="203"/>
      <c r="RI8" s="203"/>
      <c r="RJ8" s="203"/>
      <c r="RK8" s="203"/>
      <c r="RL8" s="203"/>
      <c r="RM8" s="203"/>
      <c r="RN8" s="203"/>
      <c r="RO8" s="203"/>
      <c r="RP8" s="203"/>
      <c r="RQ8" s="203"/>
      <c r="RR8" s="203"/>
      <c r="RS8" s="203"/>
      <c r="RT8" s="203"/>
      <c r="RU8" s="203"/>
      <c r="RV8" s="203"/>
      <c r="RW8" s="203"/>
      <c r="RX8" s="203"/>
      <c r="RY8" s="203"/>
    </row>
    <row r="9" spans="1:493" s="79" customFormat="1" ht="20.25" customHeight="1" thickBot="1">
      <c r="A9" s="580" t="s">
        <v>95</v>
      </c>
      <c r="B9" s="580" t="s">
        <v>96</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2"/>
      <c r="AN9" s="582"/>
      <c r="AO9" s="582"/>
      <c r="AP9" s="582"/>
      <c r="AQ9" s="583"/>
      <c r="AR9" s="582"/>
      <c r="AS9" s="582"/>
      <c r="AT9" s="582"/>
      <c r="AU9" s="582"/>
      <c r="AV9" s="584"/>
      <c r="AW9" s="582"/>
      <c r="AX9" s="582"/>
      <c r="AY9" s="582"/>
      <c r="AZ9" s="582"/>
      <c r="BA9" s="583"/>
      <c r="BB9" s="582">
        <f>BB13</f>
        <v>1026.7</v>
      </c>
      <c r="BC9" s="582">
        <f>SUM(BC10:BC11)</f>
        <v>1001.4999999999999</v>
      </c>
      <c r="BD9" s="582">
        <f t="shared" ref="BD9:BF9" si="6">SUM(BD10:BD11)</f>
        <v>1082.0999999999999</v>
      </c>
      <c r="BE9" s="582">
        <f t="shared" si="6"/>
        <v>1127.5</v>
      </c>
      <c r="BF9" s="583">
        <f t="shared" si="6"/>
        <v>4237.8</v>
      </c>
      <c r="BG9" s="582"/>
      <c r="BH9" s="582"/>
      <c r="BI9" s="582"/>
      <c r="BJ9" s="582"/>
      <c r="BK9" s="583">
        <f t="shared" ref="BK9" si="7">SUM(BK10:BK11)</f>
        <v>0</v>
      </c>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c r="IW9" s="15"/>
      <c r="IX9" s="15"/>
      <c r="IY9" s="15"/>
      <c r="IZ9" s="15"/>
      <c r="JA9" s="15"/>
      <c r="JB9" s="15"/>
      <c r="JC9" s="15"/>
      <c r="JD9" s="15"/>
      <c r="JE9" s="15"/>
      <c r="JF9" s="15"/>
      <c r="JG9" s="15"/>
      <c r="JH9" s="15"/>
      <c r="JI9" s="15"/>
      <c r="JJ9" s="15"/>
      <c r="JK9" s="15"/>
      <c r="JL9" s="15"/>
      <c r="JM9" s="15"/>
      <c r="JN9" s="15"/>
      <c r="JO9" s="15"/>
      <c r="JP9" s="15"/>
      <c r="JQ9" s="15"/>
      <c r="JR9" s="15"/>
      <c r="JS9" s="15"/>
      <c r="JT9" s="15"/>
      <c r="JU9" s="15"/>
      <c r="JV9" s="15"/>
      <c r="JW9" s="15"/>
      <c r="JX9" s="15"/>
      <c r="JY9" s="15"/>
      <c r="JZ9" s="15"/>
      <c r="KA9" s="15"/>
      <c r="KB9" s="15"/>
      <c r="KC9" s="15"/>
      <c r="KD9" s="15"/>
      <c r="KE9" s="15"/>
      <c r="KF9" s="15"/>
      <c r="KG9" s="15"/>
      <c r="KH9" s="15"/>
      <c r="KI9" s="15"/>
      <c r="KJ9" s="15"/>
      <c r="KK9" s="15"/>
      <c r="KL9" s="15"/>
      <c r="KM9" s="15"/>
      <c r="KN9" s="15"/>
      <c r="KO9" s="15"/>
      <c r="KP9" s="15"/>
      <c r="KQ9" s="15"/>
      <c r="KR9" s="15"/>
      <c r="KS9" s="15"/>
      <c r="KT9" s="15"/>
      <c r="KU9" s="15"/>
      <c r="KV9" s="15"/>
      <c r="KW9" s="15"/>
      <c r="KX9" s="15"/>
      <c r="KY9" s="15"/>
      <c r="KZ9" s="15"/>
      <c r="LA9" s="15"/>
      <c r="LB9" s="15"/>
      <c r="LC9" s="15"/>
      <c r="LD9" s="15"/>
      <c r="LE9" s="15"/>
      <c r="LF9" s="15"/>
      <c r="LG9" s="15"/>
      <c r="LH9" s="15"/>
      <c r="LI9" s="15"/>
      <c r="LJ9" s="15"/>
      <c r="LK9" s="15"/>
      <c r="LL9" s="15"/>
      <c r="LM9" s="15"/>
      <c r="LN9" s="15"/>
      <c r="LO9" s="15"/>
      <c r="LP9" s="15"/>
      <c r="LQ9" s="15"/>
      <c r="LR9" s="15"/>
      <c r="LS9" s="15"/>
      <c r="LT9" s="15"/>
      <c r="LU9" s="15"/>
      <c r="LV9" s="15"/>
      <c r="LW9" s="15"/>
      <c r="LX9" s="15"/>
      <c r="LY9" s="15"/>
      <c r="LZ9" s="15"/>
      <c r="MA9" s="15"/>
      <c r="MB9" s="15"/>
      <c r="MC9" s="15"/>
      <c r="MD9" s="15"/>
      <c r="ME9" s="15"/>
      <c r="MF9" s="15"/>
      <c r="MG9" s="15"/>
      <c r="MH9" s="15"/>
      <c r="MI9" s="15"/>
      <c r="MJ9" s="15"/>
      <c r="MK9" s="15"/>
      <c r="ML9" s="15"/>
      <c r="MM9" s="15"/>
      <c r="MN9" s="15"/>
      <c r="MO9" s="15"/>
      <c r="MP9" s="15"/>
      <c r="MQ9" s="15"/>
      <c r="MR9" s="15"/>
      <c r="MS9" s="15"/>
      <c r="MT9" s="15"/>
      <c r="MU9" s="15"/>
      <c r="MV9" s="15"/>
      <c r="MW9" s="15"/>
      <c r="MX9" s="15"/>
      <c r="MY9" s="15"/>
      <c r="MZ9" s="15"/>
      <c r="NA9" s="15"/>
      <c r="NB9" s="15"/>
      <c r="NC9" s="15"/>
      <c r="ND9" s="15"/>
      <c r="NE9" s="15"/>
      <c r="NF9" s="15"/>
      <c r="NG9" s="15"/>
      <c r="NH9" s="15"/>
      <c r="NI9" s="15"/>
      <c r="NJ9" s="15"/>
      <c r="NK9" s="15"/>
      <c r="NL9" s="15"/>
      <c r="NM9" s="15"/>
      <c r="NN9" s="15"/>
      <c r="NO9" s="15"/>
      <c r="NP9" s="15"/>
      <c r="NQ9" s="15"/>
      <c r="NR9" s="15"/>
      <c r="NS9" s="15"/>
      <c r="NT9" s="15"/>
      <c r="NU9" s="15"/>
      <c r="NV9" s="15"/>
      <c r="NW9" s="15"/>
      <c r="NX9" s="15"/>
      <c r="NY9" s="15"/>
      <c r="NZ9" s="15"/>
      <c r="OA9" s="15"/>
      <c r="OB9" s="15"/>
      <c r="OC9" s="15"/>
      <c r="OD9" s="15"/>
      <c r="OE9" s="15"/>
      <c r="OF9" s="15"/>
      <c r="OG9" s="15"/>
      <c r="OH9" s="15"/>
      <c r="OI9" s="15"/>
      <c r="OJ9" s="15"/>
      <c r="OK9" s="15"/>
      <c r="OL9" s="15"/>
      <c r="OM9" s="15"/>
      <c r="ON9" s="15"/>
      <c r="OO9" s="15"/>
      <c r="OP9" s="15"/>
      <c r="OQ9" s="15"/>
      <c r="OR9" s="15"/>
      <c r="OS9" s="15"/>
      <c r="OT9" s="15"/>
      <c r="OU9" s="15"/>
      <c r="OV9" s="15"/>
      <c r="OW9" s="15"/>
      <c r="OX9" s="15"/>
      <c r="OY9" s="15"/>
      <c r="OZ9" s="15"/>
      <c r="PA9" s="15"/>
      <c r="PB9" s="15"/>
      <c r="PC9" s="15"/>
      <c r="PD9" s="15"/>
      <c r="PE9" s="15"/>
      <c r="PF9" s="15"/>
      <c r="PG9" s="15"/>
      <c r="PH9" s="15"/>
      <c r="PI9" s="15"/>
      <c r="PJ9" s="15"/>
      <c r="PK9" s="15"/>
      <c r="PL9" s="15"/>
      <c r="PM9" s="15"/>
      <c r="PN9" s="15"/>
      <c r="PO9" s="15"/>
      <c r="PP9" s="15"/>
      <c r="PQ9" s="15"/>
      <c r="PR9" s="15"/>
      <c r="PS9" s="15"/>
      <c r="PT9" s="15"/>
      <c r="PU9" s="15"/>
      <c r="PV9" s="15"/>
      <c r="PW9" s="15"/>
      <c r="PX9" s="15"/>
      <c r="PY9" s="15"/>
      <c r="PZ9" s="15"/>
      <c r="QA9" s="15"/>
      <c r="QB9" s="15"/>
      <c r="QC9" s="15"/>
      <c r="QD9" s="15"/>
      <c r="QE9" s="15"/>
      <c r="QF9" s="15"/>
      <c r="QG9" s="15"/>
      <c r="QH9" s="15"/>
      <c r="QI9" s="15"/>
      <c r="QJ9" s="15"/>
      <c r="QK9" s="15"/>
      <c r="QL9" s="15"/>
      <c r="QM9" s="15"/>
      <c r="QN9" s="15"/>
      <c r="QO9" s="15"/>
      <c r="QP9" s="15"/>
      <c r="QQ9" s="15"/>
      <c r="QR9" s="15"/>
      <c r="QS9" s="15"/>
      <c r="QT9" s="15"/>
      <c r="QU9" s="15"/>
      <c r="QV9" s="15"/>
      <c r="QW9" s="15"/>
      <c r="QX9" s="15"/>
      <c r="QY9" s="15"/>
      <c r="QZ9" s="15"/>
      <c r="RA9" s="15"/>
      <c r="RB9" s="15"/>
      <c r="RC9" s="15"/>
      <c r="RD9" s="15"/>
      <c r="RE9" s="15"/>
      <c r="RF9" s="15"/>
      <c r="RG9" s="15"/>
      <c r="RH9" s="15"/>
      <c r="RI9" s="15"/>
      <c r="RJ9" s="15"/>
      <c r="RK9" s="15"/>
      <c r="RL9" s="15"/>
      <c r="RM9" s="15"/>
      <c r="RN9" s="15"/>
      <c r="RO9" s="15"/>
      <c r="RP9" s="15"/>
      <c r="RQ9" s="15"/>
      <c r="RR9" s="15"/>
      <c r="RS9" s="15"/>
      <c r="RT9" s="15"/>
      <c r="RU9" s="15"/>
      <c r="RV9" s="15"/>
      <c r="RW9" s="15"/>
      <c r="RX9" s="15"/>
      <c r="RY9" s="15"/>
    </row>
    <row r="10" spans="1:493" s="208" customFormat="1" ht="20.100000000000001" customHeight="1">
      <c r="A10" s="198" t="s">
        <v>89</v>
      </c>
      <c r="B10" s="199" t="s">
        <v>90</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96"/>
      <c r="AN10" s="296"/>
      <c r="AO10" s="296"/>
      <c r="AP10" s="296"/>
      <c r="AQ10" s="294"/>
      <c r="AR10" s="294"/>
      <c r="AS10" s="294"/>
      <c r="AT10" s="294"/>
      <c r="AU10" s="294"/>
      <c r="AV10" s="294"/>
      <c r="AW10" s="296"/>
      <c r="AX10" s="296"/>
      <c r="AY10" s="296"/>
      <c r="AZ10" s="296"/>
      <c r="BA10" s="294"/>
      <c r="BB10" s="297">
        <v>879.6</v>
      </c>
      <c r="BC10" s="297">
        <v>879.19999999999993</v>
      </c>
      <c r="BD10" s="297">
        <v>946.89999999999986</v>
      </c>
      <c r="BE10" s="297">
        <v>925.9</v>
      </c>
      <c r="BF10" s="295">
        <f>SUM(BB10:BE10)</f>
        <v>3631.6</v>
      </c>
      <c r="BG10" s="296"/>
      <c r="BH10" s="296"/>
      <c r="BI10" s="296"/>
      <c r="BJ10" s="296"/>
      <c r="BK10" s="298">
        <f>SUM(BG10:BJ10)</f>
        <v>0</v>
      </c>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c r="IM10" s="207"/>
      <c r="IN10" s="207"/>
      <c r="IO10" s="207"/>
      <c r="IP10" s="207"/>
      <c r="IQ10" s="207"/>
      <c r="IR10" s="207"/>
      <c r="IS10" s="207"/>
      <c r="IT10" s="207"/>
      <c r="IU10" s="207"/>
      <c r="IV10" s="207"/>
      <c r="IW10" s="207"/>
      <c r="IX10" s="207"/>
      <c r="IY10" s="207"/>
      <c r="IZ10" s="207"/>
      <c r="JA10" s="207"/>
      <c r="JB10" s="207"/>
      <c r="JC10" s="207"/>
      <c r="JD10" s="207"/>
      <c r="JE10" s="207"/>
      <c r="JF10" s="207"/>
      <c r="JG10" s="207"/>
      <c r="JH10" s="207"/>
      <c r="JI10" s="207"/>
      <c r="JJ10" s="207"/>
      <c r="JK10" s="207"/>
      <c r="JL10" s="207"/>
      <c r="JM10" s="207"/>
      <c r="JN10" s="207"/>
      <c r="JO10" s="207"/>
      <c r="JP10" s="207"/>
      <c r="JQ10" s="207"/>
      <c r="JR10" s="207"/>
      <c r="JS10" s="207"/>
      <c r="JT10" s="207"/>
      <c r="JU10" s="207"/>
      <c r="JV10" s="207"/>
      <c r="JW10" s="207"/>
      <c r="JX10" s="207"/>
      <c r="JY10" s="207"/>
      <c r="JZ10" s="207"/>
      <c r="KA10" s="207"/>
      <c r="KB10" s="207"/>
      <c r="KC10" s="207"/>
      <c r="KD10" s="207"/>
      <c r="KE10" s="207"/>
      <c r="KF10" s="207"/>
      <c r="KG10" s="207"/>
      <c r="KH10" s="207"/>
      <c r="KI10" s="207"/>
      <c r="KJ10" s="207"/>
      <c r="KK10" s="207"/>
      <c r="KL10" s="207"/>
      <c r="KM10" s="207"/>
      <c r="KN10" s="207"/>
      <c r="KO10" s="207"/>
      <c r="KP10" s="207"/>
      <c r="KQ10" s="207"/>
      <c r="KR10" s="207"/>
      <c r="KS10" s="207"/>
      <c r="KT10" s="207"/>
      <c r="KU10" s="207"/>
      <c r="KV10" s="207"/>
      <c r="KW10" s="207"/>
      <c r="KX10" s="207"/>
      <c r="KY10" s="207"/>
      <c r="KZ10" s="207"/>
      <c r="LA10" s="207"/>
      <c r="LB10" s="207"/>
      <c r="LC10" s="207"/>
      <c r="LD10" s="207"/>
      <c r="LE10" s="207"/>
      <c r="LF10" s="207"/>
      <c r="LG10" s="207"/>
      <c r="LH10" s="207"/>
      <c r="LI10" s="207"/>
      <c r="LJ10" s="207"/>
      <c r="LK10" s="207"/>
      <c r="LL10" s="207"/>
      <c r="LM10" s="207"/>
      <c r="LN10" s="207"/>
      <c r="LO10" s="207"/>
      <c r="LP10" s="207"/>
      <c r="LQ10" s="207"/>
      <c r="LR10" s="207"/>
      <c r="LS10" s="207"/>
      <c r="LT10" s="207"/>
      <c r="LU10" s="207"/>
      <c r="LV10" s="207"/>
      <c r="LW10" s="207"/>
      <c r="LX10" s="207"/>
      <c r="LY10" s="207"/>
      <c r="LZ10" s="207"/>
      <c r="MA10" s="207"/>
      <c r="MB10" s="207"/>
      <c r="MC10" s="207"/>
      <c r="MD10" s="207"/>
      <c r="ME10" s="207"/>
      <c r="MF10" s="207"/>
      <c r="MG10" s="207"/>
      <c r="MH10" s="207"/>
      <c r="MI10" s="207"/>
      <c r="MJ10" s="207"/>
      <c r="MK10" s="207"/>
      <c r="ML10" s="207"/>
      <c r="MM10" s="207"/>
      <c r="MN10" s="207"/>
      <c r="MO10" s="207"/>
      <c r="MP10" s="207"/>
      <c r="MQ10" s="207"/>
      <c r="MR10" s="207"/>
      <c r="MS10" s="207"/>
      <c r="MT10" s="207"/>
      <c r="MU10" s="207"/>
      <c r="MV10" s="207"/>
      <c r="MW10" s="207"/>
      <c r="MX10" s="207"/>
      <c r="MY10" s="207"/>
      <c r="MZ10" s="207"/>
      <c r="NA10" s="207"/>
      <c r="NB10" s="207"/>
      <c r="NC10" s="207"/>
      <c r="ND10" s="207"/>
      <c r="NE10" s="207"/>
      <c r="NF10" s="207"/>
      <c r="NG10" s="207"/>
      <c r="NH10" s="207"/>
      <c r="NI10" s="207"/>
      <c r="NJ10" s="207"/>
      <c r="NK10" s="207"/>
      <c r="NL10" s="207"/>
      <c r="NM10" s="207"/>
      <c r="NN10" s="207"/>
      <c r="NO10" s="207"/>
      <c r="NP10" s="207"/>
      <c r="NQ10" s="207"/>
      <c r="NR10" s="207"/>
      <c r="NS10" s="207"/>
      <c r="NT10" s="207"/>
      <c r="NU10" s="207"/>
      <c r="NV10" s="207"/>
      <c r="NW10" s="207"/>
      <c r="NX10" s="207"/>
      <c r="NY10" s="207"/>
      <c r="NZ10" s="207"/>
      <c r="OA10" s="207"/>
      <c r="OB10" s="207"/>
      <c r="OC10" s="207"/>
      <c r="OD10" s="207"/>
      <c r="OE10" s="207"/>
      <c r="OF10" s="207"/>
      <c r="OG10" s="207"/>
      <c r="OH10" s="207"/>
      <c r="OI10" s="207"/>
      <c r="OJ10" s="207"/>
      <c r="OK10" s="207"/>
      <c r="OL10" s="207"/>
      <c r="OM10" s="207"/>
      <c r="ON10" s="207"/>
      <c r="OO10" s="207"/>
      <c r="OP10" s="207"/>
      <c r="OQ10" s="207"/>
      <c r="OR10" s="207"/>
      <c r="OS10" s="207"/>
      <c r="OT10" s="207"/>
      <c r="OU10" s="207"/>
      <c r="OV10" s="207"/>
      <c r="OW10" s="207"/>
      <c r="OX10" s="207"/>
      <c r="OY10" s="207"/>
      <c r="OZ10" s="207"/>
      <c r="PA10" s="207"/>
      <c r="PB10" s="207"/>
      <c r="PC10" s="207"/>
      <c r="PD10" s="207"/>
      <c r="PE10" s="207"/>
      <c r="PF10" s="207"/>
      <c r="PG10" s="207"/>
      <c r="PH10" s="207"/>
      <c r="PI10" s="207"/>
      <c r="PJ10" s="207"/>
      <c r="PK10" s="207"/>
      <c r="PL10" s="207"/>
      <c r="PM10" s="207"/>
      <c r="PN10" s="207"/>
      <c r="PO10" s="207"/>
      <c r="PP10" s="207"/>
      <c r="PQ10" s="207"/>
      <c r="PR10" s="207"/>
      <c r="PS10" s="207"/>
      <c r="PT10" s="207"/>
      <c r="PU10" s="207"/>
      <c r="PV10" s="207"/>
      <c r="PW10" s="207"/>
      <c r="PX10" s="207"/>
      <c r="PY10" s="207"/>
      <c r="PZ10" s="207"/>
      <c r="QA10" s="207"/>
      <c r="QB10" s="207"/>
      <c r="QC10" s="207"/>
      <c r="QD10" s="207"/>
      <c r="QE10" s="207"/>
      <c r="QF10" s="207"/>
      <c r="QG10" s="207"/>
      <c r="QH10" s="207"/>
      <c r="QI10" s="207"/>
      <c r="QJ10" s="207"/>
      <c r="QK10" s="207"/>
      <c r="QL10" s="207"/>
      <c r="QM10" s="207"/>
      <c r="QN10" s="207"/>
      <c r="QO10" s="207"/>
      <c r="QP10" s="207"/>
      <c r="QQ10" s="207"/>
      <c r="QR10" s="207"/>
      <c r="QS10" s="207"/>
      <c r="QT10" s="207"/>
      <c r="QU10" s="207"/>
      <c r="QV10" s="207"/>
      <c r="QW10" s="207"/>
      <c r="QX10" s="207"/>
      <c r="QY10" s="207"/>
      <c r="QZ10" s="207"/>
      <c r="RA10" s="207"/>
      <c r="RB10" s="207"/>
      <c r="RC10" s="207"/>
      <c r="RD10" s="207"/>
      <c r="RE10" s="207"/>
      <c r="RF10" s="207"/>
      <c r="RG10" s="207"/>
      <c r="RH10" s="207"/>
      <c r="RI10" s="207"/>
      <c r="RJ10" s="207"/>
      <c r="RK10" s="207"/>
      <c r="RL10" s="207"/>
      <c r="RM10" s="207"/>
      <c r="RN10" s="207"/>
      <c r="RO10" s="207"/>
      <c r="RP10" s="207"/>
      <c r="RQ10" s="207"/>
      <c r="RR10" s="207"/>
      <c r="RS10" s="207"/>
      <c r="RT10" s="207"/>
      <c r="RU10" s="207"/>
      <c r="RV10" s="207"/>
      <c r="RW10" s="207"/>
      <c r="RX10" s="207"/>
      <c r="RY10" s="207"/>
    </row>
    <row r="11" spans="1:493" s="208" customFormat="1" ht="20.100000000000001" customHeight="1">
      <c r="A11" s="198" t="s">
        <v>91</v>
      </c>
      <c r="B11" s="199" t="s">
        <v>92</v>
      </c>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96"/>
      <c r="AN11" s="296"/>
      <c r="AO11" s="296"/>
      <c r="AP11" s="296"/>
      <c r="AQ11" s="294"/>
      <c r="AR11" s="294"/>
      <c r="AS11" s="294"/>
      <c r="AT11" s="294"/>
      <c r="AU11" s="294"/>
      <c r="AV11" s="294"/>
      <c r="AW11" s="296"/>
      <c r="AX11" s="296"/>
      <c r="AY11" s="296"/>
      <c r="AZ11" s="296"/>
      <c r="BA11" s="294"/>
      <c r="BB11" s="297">
        <v>147.1</v>
      </c>
      <c r="BC11" s="297">
        <v>122.29999999999998</v>
      </c>
      <c r="BD11" s="297">
        <v>135.20000000000005</v>
      </c>
      <c r="BE11" s="297">
        <v>201.6</v>
      </c>
      <c r="BF11" s="295">
        <f t="shared" ref="BF11:BF12" si="8">SUM(BB11:BE11)</f>
        <v>606.20000000000005</v>
      </c>
      <c r="BG11" s="296"/>
      <c r="BH11" s="296"/>
      <c r="BI11" s="296"/>
      <c r="BJ11" s="296"/>
      <c r="BK11" s="298">
        <f t="shared" ref="BK11:BK12" si="9">SUM(BG11:BJ11)</f>
        <v>0</v>
      </c>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c r="II11" s="207"/>
      <c r="IJ11" s="207"/>
      <c r="IK11" s="207"/>
      <c r="IL11" s="207"/>
      <c r="IM11" s="207"/>
      <c r="IN11" s="207"/>
      <c r="IO11" s="207"/>
      <c r="IP11" s="207"/>
      <c r="IQ11" s="207"/>
      <c r="IR11" s="207"/>
      <c r="IS11" s="207"/>
      <c r="IT11" s="207"/>
      <c r="IU11" s="207"/>
      <c r="IV11" s="207"/>
      <c r="IW11" s="207"/>
      <c r="IX11" s="207"/>
      <c r="IY11" s="207"/>
      <c r="IZ11" s="207"/>
      <c r="JA11" s="207"/>
      <c r="JB11" s="207"/>
      <c r="JC11" s="207"/>
      <c r="JD11" s="207"/>
      <c r="JE11" s="207"/>
      <c r="JF11" s="207"/>
      <c r="JG11" s="207"/>
      <c r="JH11" s="207"/>
      <c r="JI11" s="207"/>
      <c r="JJ11" s="207"/>
      <c r="JK11" s="207"/>
      <c r="JL11" s="207"/>
      <c r="JM11" s="207"/>
      <c r="JN11" s="207"/>
      <c r="JO11" s="207"/>
      <c r="JP11" s="207"/>
      <c r="JQ11" s="207"/>
      <c r="JR11" s="207"/>
      <c r="JS11" s="207"/>
      <c r="JT11" s="207"/>
      <c r="JU11" s="207"/>
      <c r="JV11" s="207"/>
      <c r="JW11" s="207"/>
      <c r="JX11" s="207"/>
      <c r="JY11" s="207"/>
      <c r="JZ11" s="207"/>
      <c r="KA11" s="207"/>
      <c r="KB11" s="207"/>
      <c r="KC11" s="207"/>
      <c r="KD11" s="207"/>
      <c r="KE11" s="207"/>
      <c r="KF11" s="207"/>
      <c r="KG11" s="207"/>
      <c r="KH11" s="207"/>
      <c r="KI11" s="207"/>
      <c r="KJ11" s="207"/>
      <c r="KK11" s="207"/>
      <c r="KL11" s="207"/>
      <c r="KM11" s="207"/>
      <c r="KN11" s="207"/>
      <c r="KO11" s="207"/>
      <c r="KP11" s="207"/>
      <c r="KQ11" s="207"/>
      <c r="KR11" s="207"/>
      <c r="KS11" s="207"/>
      <c r="KT11" s="207"/>
      <c r="KU11" s="207"/>
      <c r="KV11" s="207"/>
      <c r="KW11" s="207"/>
      <c r="KX11" s="207"/>
      <c r="KY11" s="207"/>
      <c r="KZ11" s="207"/>
      <c r="LA11" s="207"/>
      <c r="LB11" s="207"/>
      <c r="LC11" s="207"/>
      <c r="LD11" s="207"/>
      <c r="LE11" s="207"/>
      <c r="LF11" s="207"/>
      <c r="LG11" s="207"/>
      <c r="LH11" s="207"/>
      <c r="LI11" s="207"/>
      <c r="LJ11" s="207"/>
      <c r="LK11" s="207"/>
      <c r="LL11" s="207"/>
      <c r="LM11" s="207"/>
      <c r="LN11" s="207"/>
      <c r="LO11" s="207"/>
      <c r="LP11" s="207"/>
      <c r="LQ11" s="207"/>
      <c r="LR11" s="207"/>
      <c r="LS11" s="207"/>
      <c r="LT11" s="207"/>
      <c r="LU11" s="207"/>
      <c r="LV11" s="207"/>
      <c r="LW11" s="207"/>
      <c r="LX11" s="207"/>
      <c r="LY11" s="207"/>
      <c r="LZ11" s="207"/>
      <c r="MA11" s="207"/>
      <c r="MB11" s="207"/>
      <c r="MC11" s="207"/>
      <c r="MD11" s="207"/>
      <c r="ME11" s="207"/>
      <c r="MF11" s="207"/>
      <c r="MG11" s="207"/>
      <c r="MH11" s="207"/>
      <c r="MI11" s="207"/>
      <c r="MJ11" s="207"/>
      <c r="MK11" s="207"/>
      <c r="ML11" s="207"/>
      <c r="MM11" s="207"/>
      <c r="MN11" s="207"/>
      <c r="MO11" s="207"/>
      <c r="MP11" s="207"/>
      <c r="MQ11" s="207"/>
      <c r="MR11" s="207"/>
      <c r="MS11" s="207"/>
      <c r="MT11" s="207"/>
      <c r="MU11" s="207"/>
      <c r="MV11" s="207"/>
      <c r="MW11" s="207"/>
      <c r="MX11" s="207"/>
      <c r="MY11" s="207"/>
      <c r="MZ11" s="207"/>
      <c r="NA11" s="207"/>
      <c r="NB11" s="207"/>
      <c r="NC11" s="207"/>
      <c r="ND11" s="207"/>
      <c r="NE11" s="207"/>
      <c r="NF11" s="207"/>
      <c r="NG11" s="207"/>
      <c r="NH11" s="207"/>
      <c r="NI11" s="207"/>
      <c r="NJ11" s="207"/>
      <c r="NK11" s="207"/>
      <c r="NL11" s="207"/>
      <c r="NM11" s="207"/>
      <c r="NN11" s="207"/>
      <c r="NO11" s="207"/>
      <c r="NP11" s="207"/>
      <c r="NQ11" s="207"/>
      <c r="NR11" s="207"/>
      <c r="NS11" s="207"/>
      <c r="NT11" s="207"/>
      <c r="NU11" s="207"/>
      <c r="NV11" s="207"/>
      <c r="NW11" s="207"/>
      <c r="NX11" s="207"/>
      <c r="NY11" s="207"/>
      <c r="NZ11" s="207"/>
      <c r="OA11" s="207"/>
      <c r="OB11" s="207"/>
      <c r="OC11" s="207"/>
      <c r="OD11" s="207"/>
      <c r="OE11" s="207"/>
      <c r="OF11" s="207"/>
      <c r="OG11" s="207"/>
      <c r="OH11" s="207"/>
      <c r="OI11" s="207"/>
      <c r="OJ11" s="207"/>
      <c r="OK11" s="207"/>
      <c r="OL11" s="207"/>
      <c r="OM11" s="207"/>
      <c r="ON11" s="207"/>
      <c r="OO11" s="207"/>
      <c r="OP11" s="207"/>
      <c r="OQ11" s="207"/>
      <c r="OR11" s="207"/>
      <c r="OS11" s="207"/>
      <c r="OT11" s="207"/>
      <c r="OU11" s="207"/>
      <c r="OV11" s="207"/>
      <c r="OW11" s="207"/>
      <c r="OX11" s="207"/>
      <c r="OY11" s="207"/>
      <c r="OZ11" s="207"/>
      <c r="PA11" s="207"/>
      <c r="PB11" s="207"/>
      <c r="PC11" s="207"/>
      <c r="PD11" s="207"/>
      <c r="PE11" s="207"/>
      <c r="PF11" s="207"/>
      <c r="PG11" s="207"/>
      <c r="PH11" s="207"/>
      <c r="PI11" s="207"/>
      <c r="PJ11" s="207"/>
      <c r="PK11" s="207"/>
      <c r="PL11" s="207"/>
      <c r="PM11" s="207"/>
      <c r="PN11" s="207"/>
      <c r="PO11" s="207"/>
      <c r="PP11" s="207"/>
      <c r="PQ11" s="207"/>
      <c r="PR11" s="207"/>
      <c r="PS11" s="207"/>
      <c r="PT11" s="207"/>
      <c r="PU11" s="207"/>
      <c r="PV11" s="207"/>
      <c r="PW11" s="207"/>
      <c r="PX11" s="207"/>
      <c r="PY11" s="207"/>
      <c r="PZ11" s="207"/>
      <c r="QA11" s="207"/>
      <c r="QB11" s="207"/>
      <c r="QC11" s="207"/>
      <c r="QD11" s="207"/>
      <c r="QE11" s="207"/>
      <c r="QF11" s="207"/>
      <c r="QG11" s="207"/>
      <c r="QH11" s="207"/>
      <c r="QI11" s="207"/>
      <c r="QJ11" s="207"/>
      <c r="QK11" s="207"/>
      <c r="QL11" s="207"/>
      <c r="QM11" s="207"/>
      <c r="QN11" s="207"/>
      <c r="QO11" s="207"/>
      <c r="QP11" s="207"/>
      <c r="QQ11" s="207"/>
      <c r="QR11" s="207"/>
      <c r="QS11" s="207"/>
      <c r="QT11" s="207"/>
      <c r="QU11" s="207"/>
      <c r="QV11" s="207"/>
      <c r="QW11" s="207"/>
      <c r="QX11" s="207"/>
      <c r="QY11" s="207"/>
      <c r="QZ11" s="207"/>
      <c r="RA11" s="207"/>
      <c r="RB11" s="207"/>
      <c r="RC11" s="207"/>
      <c r="RD11" s="207"/>
      <c r="RE11" s="207"/>
      <c r="RF11" s="207"/>
      <c r="RG11" s="207"/>
      <c r="RH11" s="207"/>
      <c r="RI11" s="207"/>
      <c r="RJ11" s="207"/>
      <c r="RK11" s="207"/>
      <c r="RL11" s="207"/>
      <c r="RM11" s="207"/>
      <c r="RN11" s="207"/>
      <c r="RO11" s="207"/>
      <c r="RP11" s="207"/>
      <c r="RQ11" s="207"/>
      <c r="RR11" s="207"/>
      <c r="RS11" s="207"/>
      <c r="RT11" s="207"/>
      <c r="RU11" s="207"/>
      <c r="RV11" s="207"/>
      <c r="RW11" s="207"/>
      <c r="RX11" s="207"/>
      <c r="RY11" s="207"/>
    </row>
    <row r="12" spans="1:493" s="208" customFormat="1" ht="20.100000000000001" customHeight="1" thickBot="1">
      <c r="A12" s="209" t="s">
        <v>97</v>
      </c>
      <c r="B12" s="210" t="s">
        <v>98</v>
      </c>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96"/>
      <c r="AN12" s="296"/>
      <c r="AO12" s="296"/>
      <c r="AP12" s="296"/>
      <c r="AQ12" s="294"/>
      <c r="AR12" s="294"/>
      <c r="AS12" s="294"/>
      <c r="AT12" s="294"/>
      <c r="AU12" s="294"/>
      <c r="AV12" s="294"/>
      <c r="AW12" s="296"/>
      <c r="AX12" s="296"/>
      <c r="AY12" s="296"/>
      <c r="AZ12" s="296"/>
      <c r="BA12" s="294"/>
      <c r="BB12" s="297">
        <v>0</v>
      </c>
      <c r="BC12" s="297">
        <v>-41.5</v>
      </c>
      <c r="BD12" s="297">
        <v>-3.3</v>
      </c>
      <c r="BE12" s="297">
        <v>-1.1000000000000001</v>
      </c>
      <c r="BF12" s="295">
        <f t="shared" si="8"/>
        <v>-45.9</v>
      </c>
      <c r="BG12" s="296"/>
      <c r="BH12" s="296"/>
      <c r="BI12" s="296"/>
      <c r="BJ12" s="296"/>
      <c r="BK12" s="298">
        <f t="shared" si="9"/>
        <v>0</v>
      </c>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c r="II12" s="207"/>
      <c r="IJ12" s="207"/>
      <c r="IK12" s="207"/>
      <c r="IL12" s="207"/>
      <c r="IM12" s="207"/>
      <c r="IN12" s="207"/>
      <c r="IO12" s="207"/>
      <c r="IP12" s="207"/>
      <c r="IQ12" s="207"/>
      <c r="IR12" s="207"/>
      <c r="IS12" s="207"/>
      <c r="IT12" s="207"/>
      <c r="IU12" s="207"/>
      <c r="IV12" s="207"/>
      <c r="IW12" s="207"/>
      <c r="IX12" s="207"/>
      <c r="IY12" s="207"/>
      <c r="IZ12" s="207"/>
      <c r="JA12" s="207"/>
      <c r="JB12" s="207"/>
      <c r="JC12" s="207"/>
      <c r="JD12" s="207"/>
      <c r="JE12" s="207"/>
      <c r="JF12" s="207"/>
      <c r="JG12" s="207"/>
      <c r="JH12" s="207"/>
      <c r="JI12" s="207"/>
      <c r="JJ12" s="207"/>
      <c r="JK12" s="207"/>
      <c r="JL12" s="207"/>
      <c r="JM12" s="207"/>
      <c r="JN12" s="207"/>
      <c r="JO12" s="207"/>
      <c r="JP12" s="207"/>
      <c r="JQ12" s="207"/>
      <c r="JR12" s="207"/>
      <c r="JS12" s="207"/>
      <c r="JT12" s="207"/>
      <c r="JU12" s="207"/>
      <c r="JV12" s="207"/>
      <c r="JW12" s="207"/>
      <c r="JX12" s="207"/>
      <c r="JY12" s="207"/>
      <c r="JZ12" s="207"/>
      <c r="KA12" s="207"/>
      <c r="KB12" s="207"/>
      <c r="KC12" s="207"/>
      <c r="KD12" s="207"/>
      <c r="KE12" s="207"/>
      <c r="KF12" s="207"/>
      <c r="KG12" s="207"/>
      <c r="KH12" s="207"/>
      <c r="KI12" s="207"/>
      <c r="KJ12" s="207"/>
      <c r="KK12" s="207"/>
      <c r="KL12" s="207"/>
      <c r="KM12" s="207"/>
      <c r="KN12" s="207"/>
      <c r="KO12" s="207"/>
      <c r="KP12" s="207"/>
      <c r="KQ12" s="207"/>
      <c r="KR12" s="207"/>
      <c r="KS12" s="207"/>
      <c r="KT12" s="207"/>
      <c r="KU12" s="207"/>
      <c r="KV12" s="207"/>
      <c r="KW12" s="207"/>
      <c r="KX12" s="207"/>
      <c r="KY12" s="207"/>
      <c r="KZ12" s="207"/>
      <c r="LA12" s="207"/>
      <c r="LB12" s="207"/>
      <c r="LC12" s="207"/>
      <c r="LD12" s="207"/>
      <c r="LE12" s="207"/>
      <c r="LF12" s="207"/>
      <c r="LG12" s="207"/>
      <c r="LH12" s="207"/>
      <c r="LI12" s="207"/>
      <c r="LJ12" s="207"/>
      <c r="LK12" s="207"/>
      <c r="LL12" s="207"/>
      <c r="LM12" s="207"/>
      <c r="LN12" s="207"/>
      <c r="LO12" s="207"/>
      <c r="LP12" s="207"/>
      <c r="LQ12" s="207"/>
      <c r="LR12" s="207"/>
      <c r="LS12" s="207"/>
      <c r="LT12" s="207"/>
      <c r="LU12" s="207"/>
      <c r="LV12" s="207"/>
      <c r="LW12" s="207"/>
      <c r="LX12" s="207"/>
      <c r="LY12" s="207"/>
      <c r="LZ12" s="207"/>
      <c r="MA12" s="207"/>
      <c r="MB12" s="207"/>
      <c r="MC12" s="207"/>
      <c r="MD12" s="207"/>
      <c r="ME12" s="207"/>
      <c r="MF12" s="207"/>
      <c r="MG12" s="207"/>
      <c r="MH12" s="207"/>
      <c r="MI12" s="207"/>
      <c r="MJ12" s="207"/>
      <c r="MK12" s="207"/>
      <c r="ML12" s="207"/>
      <c r="MM12" s="207"/>
      <c r="MN12" s="207"/>
      <c r="MO12" s="207"/>
      <c r="MP12" s="207"/>
      <c r="MQ12" s="207"/>
      <c r="MR12" s="207"/>
      <c r="MS12" s="207"/>
      <c r="MT12" s="207"/>
      <c r="MU12" s="207"/>
      <c r="MV12" s="207"/>
      <c r="MW12" s="207"/>
      <c r="MX12" s="207"/>
      <c r="MY12" s="207"/>
      <c r="MZ12" s="207"/>
      <c r="NA12" s="207"/>
      <c r="NB12" s="207"/>
      <c r="NC12" s="207"/>
      <c r="ND12" s="207"/>
      <c r="NE12" s="207"/>
      <c r="NF12" s="207"/>
      <c r="NG12" s="207"/>
      <c r="NH12" s="207"/>
      <c r="NI12" s="207"/>
      <c r="NJ12" s="207"/>
      <c r="NK12" s="207"/>
      <c r="NL12" s="207"/>
      <c r="NM12" s="207"/>
      <c r="NN12" s="207"/>
      <c r="NO12" s="207"/>
      <c r="NP12" s="207"/>
      <c r="NQ12" s="207"/>
      <c r="NR12" s="207"/>
      <c r="NS12" s="207"/>
      <c r="NT12" s="207"/>
      <c r="NU12" s="207"/>
      <c r="NV12" s="207"/>
      <c r="NW12" s="207"/>
      <c r="NX12" s="207"/>
      <c r="NY12" s="207"/>
      <c r="NZ12" s="207"/>
      <c r="OA12" s="207"/>
      <c r="OB12" s="207"/>
      <c r="OC12" s="207"/>
      <c r="OD12" s="207"/>
      <c r="OE12" s="207"/>
      <c r="OF12" s="207"/>
      <c r="OG12" s="207"/>
      <c r="OH12" s="207"/>
      <c r="OI12" s="207"/>
      <c r="OJ12" s="207"/>
      <c r="OK12" s="207"/>
      <c r="OL12" s="207"/>
      <c r="OM12" s="207"/>
      <c r="ON12" s="207"/>
      <c r="OO12" s="207"/>
      <c r="OP12" s="207"/>
      <c r="OQ12" s="207"/>
      <c r="OR12" s="207"/>
      <c r="OS12" s="207"/>
      <c r="OT12" s="207"/>
      <c r="OU12" s="207"/>
      <c r="OV12" s="207"/>
      <c r="OW12" s="207"/>
      <c r="OX12" s="207"/>
      <c r="OY12" s="207"/>
      <c r="OZ12" s="207"/>
      <c r="PA12" s="207"/>
      <c r="PB12" s="207"/>
      <c r="PC12" s="207"/>
      <c r="PD12" s="207"/>
      <c r="PE12" s="207"/>
      <c r="PF12" s="207"/>
      <c r="PG12" s="207"/>
      <c r="PH12" s="207"/>
      <c r="PI12" s="207"/>
      <c r="PJ12" s="207"/>
      <c r="PK12" s="207"/>
      <c r="PL12" s="207"/>
      <c r="PM12" s="207"/>
      <c r="PN12" s="207"/>
      <c r="PO12" s="207"/>
      <c r="PP12" s="207"/>
      <c r="PQ12" s="207"/>
      <c r="PR12" s="207"/>
      <c r="PS12" s="207"/>
      <c r="PT12" s="207"/>
      <c r="PU12" s="207"/>
      <c r="PV12" s="207"/>
      <c r="PW12" s="207"/>
      <c r="PX12" s="207"/>
      <c r="PY12" s="207"/>
      <c r="PZ12" s="207"/>
      <c r="QA12" s="207"/>
      <c r="QB12" s="207"/>
      <c r="QC12" s="207"/>
      <c r="QD12" s="207"/>
      <c r="QE12" s="207"/>
      <c r="QF12" s="207"/>
      <c r="QG12" s="207"/>
      <c r="QH12" s="207"/>
      <c r="QI12" s="207"/>
      <c r="QJ12" s="207"/>
      <c r="QK12" s="207"/>
      <c r="QL12" s="207"/>
      <c r="QM12" s="207"/>
      <c r="QN12" s="207"/>
      <c r="QO12" s="207"/>
      <c r="QP12" s="207"/>
      <c r="QQ12" s="207"/>
      <c r="QR12" s="207"/>
      <c r="QS12" s="207"/>
      <c r="QT12" s="207"/>
      <c r="QU12" s="207"/>
      <c r="QV12" s="207"/>
      <c r="QW12" s="207"/>
      <c r="QX12" s="207"/>
      <c r="QY12" s="207"/>
      <c r="QZ12" s="207"/>
      <c r="RA12" s="207"/>
      <c r="RB12" s="207"/>
      <c r="RC12" s="207"/>
      <c r="RD12" s="207"/>
      <c r="RE12" s="207"/>
      <c r="RF12" s="207"/>
      <c r="RG12" s="207"/>
      <c r="RH12" s="207"/>
      <c r="RI12" s="207"/>
      <c r="RJ12" s="207"/>
      <c r="RK12" s="207"/>
      <c r="RL12" s="207"/>
      <c r="RM12" s="207"/>
      <c r="RN12" s="207"/>
      <c r="RO12" s="207"/>
      <c r="RP12" s="207"/>
      <c r="RQ12" s="207"/>
      <c r="RR12" s="207"/>
      <c r="RS12" s="207"/>
      <c r="RT12" s="207"/>
      <c r="RU12" s="207"/>
      <c r="RV12" s="207"/>
      <c r="RW12" s="207"/>
      <c r="RX12" s="207"/>
      <c r="RY12" s="207"/>
    </row>
    <row r="13" spans="1:493" s="79" customFormat="1" ht="20.25" customHeight="1" thickBot="1">
      <c r="A13" s="580" t="s">
        <v>99</v>
      </c>
      <c r="B13" s="580" t="s">
        <v>100</v>
      </c>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1"/>
      <c r="AM13" s="582">
        <f>SUM(AM14:AM15)</f>
        <v>890</v>
      </c>
      <c r="AN13" s="582">
        <f t="shared" ref="AN13:AQ13" si="10">SUM(AN14:AN15)</f>
        <v>946.40000000000009</v>
      </c>
      <c r="AO13" s="582">
        <f t="shared" si="10"/>
        <v>920</v>
      </c>
      <c r="AP13" s="582">
        <f t="shared" si="10"/>
        <v>941.3</v>
      </c>
      <c r="AQ13" s="583">
        <f t="shared" si="10"/>
        <v>3697.7</v>
      </c>
      <c r="AR13" s="582"/>
      <c r="AS13" s="582"/>
      <c r="AT13" s="582"/>
      <c r="AU13" s="582"/>
      <c r="AV13" s="584"/>
      <c r="AW13" s="582">
        <f t="shared" ref="AW13:BE13" si="11">SUM(AW14:AW15)</f>
        <v>1038.3</v>
      </c>
      <c r="AX13" s="582">
        <f t="shared" si="11"/>
        <v>1076.0999999999999</v>
      </c>
      <c r="AY13" s="582">
        <f t="shared" si="11"/>
        <v>1020.4999999999999</v>
      </c>
      <c r="AZ13" s="582">
        <f t="shared" si="11"/>
        <v>1061.8000000000004</v>
      </c>
      <c r="BA13" s="583">
        <f t="shared" si="11"/>
        <v>4196.7</v>
      </c>
      <c r="BB13" s="582">
        <f t="shared" si="11"/>
        <v>1026.7</v>
      </c>
      <c r="BC13" s="582">
        <f t="shared" si="11"/>
        <v>960</v>
      </c>
      <c r="BD13" s="582">
        <f t="shared" si="11"/>
        <v>1078.9000000000001</v>
      </c>
      <c r="BE13" s="582">
        <f t="shared" si="11"/>
        <v>1126.3</v>
      </c>
      <c r="BF13" s="583">
        <f>SUM(BF14:BF15)</f>
        <v>4191.9000000000005</v>
      </c>
      <c r="BG13" s="582">
        <f>SUM(BG14:BG15)</f>
        <v>1082.7</v>
      </c>
      <c r="BH13" s="582">
        <f t="shared" ref="BH13:BJ13" si="12">SUM(BH14:BH15)</f>
        <v>1140.9000000000001</v>
      </c>
      <c r="BI13" s="582">
        <f t="shared" si="12"/>
        <v>0</v>
      </c>
      <c r="BJ13" s="582">
        <f t="shared" si="12"/>
        <v>0</v>
      </c>
      <c r="BK13" s="583">
        <f>SUM(BK14:BK15)</f>
        <v>2223.6</v>
      </c>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row>
    <row r="14" spans="1:493" s="208" customFormat="1" ht="20.100000000000001" customHeight="1">
      <c r="A14" s="198" t="s">
        <v>89</v>
      </c>
      <c r="B14" s="199" t="s">
        <v>90</v>
      </c>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1">
        <v>755</v>
      </c>
      <c r="AN14" s="201">
        <v>795.2</v>
      </c>
      <c r="AO14" s="201">
        <v>825.7</v>
      </c>
      <c r="AP14" s="201">
        <v>769</v>
      </c>
      <c r="AQ14" s="295">
        <f>SUM(AM14:AP14)</f>
        <v>3144.9</v>
      </c>
      <c r="AR14" s="201"/>
      <c r="AS14" s="201"/>
      <c r="AT14" s="201"/>
      <c r="AU14" s="201"/>
      <c r="AV14" s="202"/>
      <c r="AW14" s="201">
        <v>892.6</v>
      </c>
      <c r="AX14" s="201">
        <v>914.49999999999989</v>
      </c>
      <c r="AY14" s="201">
        <v>925.59999999999991</v>
      </c>
      <c r="AZ14" s="201">
        <v>867.10000000000036</v>
      </c>
      <c r="BA14" s="295">
        <f>SUM(AW14:AZ14)</f>
        <v>3599.8</v>
      </c>
      <c r="BB14" s="201">
        <v>879.6</v>
      </c>
      <c r="BC14" s="201">
        <v>841.4</v>
      </c>
      <c r="BD14" s="201">
        <v>943.80000000000018</v>
      </c>
      <c r="BE14" s="201">
        <v>925</v>
      </c>
      <c r="BF14" s="295">
        <f>SUM(BB14:BE14)</f>
        <v>3589.8</v>
      </c>
      <c r="BG14" s="201">
        <v>936.6</v>
      </c>
      <c r="BH14" s="201">
        <f>1888.4-BG14</f>
        <v>951.80000000000007</v>
      </c>
      <c r="BI14" s="201"/>
      <c r="BJ14" s="201"/>
      <c r="BK14" s="295">
        <f>SUM(BG14:BJ14)</f>
        <v>1888.4</v>
      </c>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7"/>
      <c r="IR14" s="207"/>
      <c r="IS14" s="207"/>
      <c r="IT14" s="207"/>
      <c r="IU14" s="207"/>
      <c r="IV14" s="207"/>
      <c r="IW14" s="207"/>
      <c r="IX14" s="207"/>
      <c r="IY14" s="207"/>
      <c r="IZ14" s="207"/>
      <c r="JA14" s="207"/>
      <c r="JB14" s="207"/>
      <c r="JC14" s="207"/>
      <c r="JD14" s="207"/>
      <c r="JE14" s="207"/>
      <c r="JF14" s="207"/>
      <c r="JG14" s="207"/>
      <c r="JH14" s="207"/>
      <c r="JI14" s="207"/>
      <c r="JJ14" s="207"/>
      <c r="JK14" s="207"/>
      <c r="JL14" s="207"/>
      <c r="JM14" s="207"/>
      <c r="JN14" s="207"/>
      <c r="JO14" s="207"/>
      <c r="JP14" s="207"/>
      <c r="JQ14" s="207"/>
      <c r="JR14" s="207"/>
      <c r="JS14" s="207"/>
      <c r="JT14" s="207"/>
      <c r="JU14" s="207"/>
      <c r="JV14" s="207"/>
      <c r="JW14" s="207"/>
      <c r="JX14" s="207"/>
      <c r="JY14" s="207"/>
      <c r="JZ14" s="207"/>
      <c r="KA14" s="207"/>
      <c r="KB14" s="207"/>
      <c r="KC14" s="207"/>
      <c r="KD14" s="207"/>
      <c r="KE14" s="207"/>
      <c r="KF14" s="207"/>
      <c r="KG14" s="207"/>
      <c r="KH14" s="207"/>
      <c r="KI14" s="207"/>
      <c r="KJ14" s="207"/>
      <c r="KK14" s="207"/>
      <c r="KL14" s="207"/>
      <c r="KM14" s="207"/>
      <c r="KN14" s="207"/>
      <c r="KO14" s="207"/>
      <c r="KP14" s="207"/>
      <c r="KQ14" s="207"/>
      <c r="KR14" s="207"/>
      <c r="KS14" s="207"/>
      <c r="KT14" s="207"/>
      <c r="KU14" s="207"/>
      <c r="KV14" s="207"/>
      <c r="KW14" s="207"/>
      <c r="KX14" s="207"/>
      <c r="KY14" s="207"/>
      <c r="KZ14" s="207"/>
      <c r="LA14" s="207"/>
      <c r="LB14" s="207"/>
      <c r="LC14" s="207"/>
      <c r="LD14" s="207"/>
      <c r="LE14" s="207"/>
      <c r="LF14" s="207"/>
      <c r="LG14" s="207"/>
      <c r="LH14" s="207"/>
      <c r="LI14" s="207"/>
      <c r="LJ14" s="207"/>
      <c r="LK14" s="207"/>
      <c r="LL14" s="207"/>
      <c r="LM14" s="207"/>
      <c r="LN14" s="207"/>
      <c r="LO14" s="207"/>
      <c r="LP14" s="207"/>
      <c r="LQ14" s="207"/>
      <c r="LR14" s="207"/>
      <c r="LS14" s="207"/>
      <c r="LT14" s="207"/>
      <c r="LU14" s="207"/>
      <c r="LV14" s="207"/>
      <c r="LW14" s="207"/>
      <c r="LX14" s="207"/>
      <c r="LY14" s="207"/>
      <c r="LZ14" s="207"/>
      <c r="MA14" s="207"/>
      <c r="MB14" s="207"/>
      <c r="MC14" s="207"/>
      <c r="MD14" s="207"/>
      <c r="ME14" s="207"/>
      <c r="MF14" s="207"/>
      <c r="MG14" s="207"/>
      <c r="MH14" s="207"/>
      <c r="MI14" s="207"/>
      <c r="MJ14" s="207"/>
      <c r="MK14" s="207"/>
      <c r="ML14" s="207"/>
      <c r="MM14" s="207"/>
      <c r="MN14" s="207"/>
      <c r="MO14" s="207"/>
      <c r="MP14" s="207"/>
      <c r="MQ14" s="207"/>
      <c r="MR14" s="207"/>
      <c r="MS14" s="207"/>
      <c r="MT14" s="207"/>
      <c r="MU14" s="207"/>
      <c r="MV14" s="207"/>
      <c r="MW14" s="207"/>
      <c r="MX14" s="207"/>
      <c r="MY14" s="207"/>
      <c r="MZ14" s="207"/>
      <c r="NA14" s="207"/>
      <c r="NB14" s="207"/>
      <c r="NC14" s="207"/>
      <c r="ND14" s="207"/>
      <c r="NE14" s="207"/>
      <c r="NF14" s="207"/>
      <c r="NG14" s="207"/>
      <c r="NH14" s="207"/>
      <c r="NI14" s="207"/>
      <c r="NJ14" s="207"/>
      <c r="NK14" s="207"/>
      <c r="NL14" s="207"/>
      <c r="NM14" s="207"/>
      <c r="NN14" s="207"/>
      <c r="NO14" s="207"/>
      <c r="NP14" s="207"/>
      <c r="NQ14" s="207"/>
      <c r="NR14" s="207"/>
      <c r="NS14" s="207"/>
      <c r="NT14" s="207"/>
      <c r="NU14" s="207"/>
      <c r="NV14" s="207"/>
      <c r="NW14" s="207"/>
      <c r="NX14" s="207"/>
      <c r="NY14" s="207"/>
      <c r="NZ14" s="207"/>
      <c r="OA14" s="207"/>
      <c r="OB14" s="207"/>
      <c r="OC14" s="207"/>
      <c r="OD14" s="207"/>
      <c r="OE14" s="207"/>
      <c r="OF14" s="207"/>
      <c r="OG14" s="207"/>
      <c r="OH14" s="207"/>
      <c r="OI14" s="207"/>
      <c r="OJ14" s="207"/>
      <c r="OK14" s="207"/>
      <c r="OL14" s="207"/>
      <c r="OM14" s="207"/>
      <c r="ON14" s="207"/>
      <c r="OO14" s="207"/>
      <c r="OP14" s="207"/>
      <c r="OQ14" s="207"/>
      <c r="OR14" s="207"/>
      <c r="OS14" s="207"/>
      <c r="OT14" s="207"/>
      <c r="OU14" s="207"/>
      <c r="OV14" s="207"/>
      <c r="OW14" s="207"/>
      <c r="OX14" s="207"/>
      <c r="OY14" s="207"/>
      <c r="OZ14" s="207"/>
      <c r="PA14" s="207"/>
      <c r="PB14" s="207"/>
      <c r="PC14" s="207"/>
      <c r="PD14" s="207"/>
      <c r="PE14" s="207"/>
      <c r="PF14" s="207"/>
      <c r="PG14" s="207"/>
      <c r="PH14" s="207"/>
      <c r="PI14" s="207"/>
      <c r="PJ14" s="207"/>
      <c r="PK14" s="207"/>
      <c r="PL14" s="207"/>
      <c r="PM14" s="207"/>
      <c r="PN14" s="207"/>
      <c r="PO14" s="207"/>
      <c r="PP14" s="207"/>
      <c r="PQ14" s="207"/>
      <c r="PR14" s="207"/>
      <c r="PS14" s="207"/>
      <c r="PT14" s="207"/>
      <c r="PU14" s="207"/>
      <c r="PV14" s="207"/>
      <c r="PW14" s="207"/>
      <c r="PX14" s="207"/>
      <c r="PY14" s="207"/>
      <c r="PZ14" s="207"/>
      <c r="QA14" s="207"/>
      <c r="QB14" s="207"/>
      <c r="QC14" s="207"/>
      <c r="QD14" s="207"/>
      <c r="QE14" s="207"/>
      <c r="QF14" s="207"/>
      <c r="QG14" s="207"/>
      <c r="QH14" s="207"/>
      <c r="QI14" s="207"/>
      <c r="QJ14" s="207"/>
      <c r="QK14" s="207"/>
      <c r="QL14" s="207"/>
      <c r="QM14" s="207"/>
      <c r="QN14" s="207"/>
      <c r="QO14" s="207"/>
      <c r="QP14" s="207"/>
      <c r="QQ14" s="207"/>
      <c r="QR14" s="207"/>
      <c r="QS14" s="207"/>
      <c r="QT14" s="207"/>
      <c r="QU14" s="207"/>
      <c r="QV14" s="207"/>
      <c r="QW14" s="207"/>
      <c r="QX14" s="207"/>
      <c r="QY14" s="207"/>
      <c r="QZ14" s="207"/>
      <c r="RA14" s="207"/>
      <c r="RB14" s="207"/>
      <c r="RC14" s="207"/>
      <c r="RD14" s="207"/>
      <c r="RE14" s="207"/>
      <c r="RF14" s="207"/>
      <c r="RG14" s="207"/>
      <c r="RH14" s="207"/>
      <c r="RI14" s="207"/>
      <c r="RJ14" s="207"/>
      <c r="RK14" s="207"/>
      <c r="RL14" s="207"/>
      <c r="RM14" s="207"/>
      <c r="RN14" s="207"/>
      <c r="RO14" s="207"/>
      <c r="RP14" s="207"/>
      <c r="RQ14" s="207"/>
      <c r="RR14" s="207"/>
      <c r="RS14" s="207"/>
      <c r="RT14" s="207"/>
      <c r="RU14" s="207"/>
      <c r="RV14" s="207"/>
      <c r="RW14" s="207"/>
      <c r="RX14" s="207"/>
      <c r="RY14" s="207"/>
    </row>
    <row r="15" spans="1:493" s="208" customFormat="1" ht="20.100000000000001" customHeight="1" thickBot="1">
      <c r="A15" s="198" t="s">
        <v>91</v>
      </c>
      <c r="B15" s="199" t="s">
        <v>92</v>
      </c>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1">
        <v>135</v>
      </c>
      <c r="AN15" s="201">
        <v>151.19999999999999</v>
      </c>
      <c r="AO15" s="201">
        <v>94.300000000000011</v>
      </c>
      <c r="AP15" s="201">
        <v>172.29999999999995</v>
      </c>
      <c r="AQ15" s="295">
        <f>SUM(AM15:AP15)</f>
        <v>552.79999999999995</v>
      </c>
      <c r="AR15" s="201"/>
      <c r="AS15" s="201"/>
      <c r="AT15" s="201"/>
      <c r="AU15" s="201"/>
      <c r="AV15" s="202"/>
      <c r="AW15" s="201">
        <v>145.69999999999999</v>
      </c>
      <c r="AX15" s="201">
        <v>161.60000000000002</v>
      </c>
      <c r="AY15" s="201">
        <v>94.899999999999977</v>
      </c>
      <c r="AZ15" s="201">
        <v>194.7</v>
      </c>
      <c r="BA15" s="295">
        <f>SUM(AW15:AZ15)</f>
        <v>596.9</v>
      </c>
      <c r="BB15" s="201">
        <v>147.1</v>
      </c>
      <c r="BC15" s="201">
        <v>118.6</v>
      </c>
      <c r="BD15" s="201">
        <v>135.10000000000002</v>
      </c>
      <c r="BE15" s="201">
        <v>201.3</v>
      </c>
      <c r="BF15" s="295">
        <f>SUM(BB15:BE15)</f>
        <v>602.1</v>
      </c>
      <c r="BG15" s="201">
        <v>146.1</v>
      </c>
      <c r="BH15" s="201">
        <f>335.2-BG15</f>
        <v>189.1</v>
      </c>
      <c r="BI15" s="201"/>
      <c r="BJ15" s="201"/>
      <c r="BK15" s="295">
        <f>SUM(BG15:BJ15)</f>
        <v>335.2</v>
      </c>
      <c r="BL15" s="207"/>
      <c r="BM15" s="207"/>
      <c r="BN15" s="207"/>
      <c r="BO15" s="206"/>
      <c r="BP15" s="207"/>
      <c r="BQ15" s="206"/>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c r="II15" s="207"/>
      <c r="IJ15" s="207"/>
      <c r="IK15" s="207"/>
      <c r="IL15" s="207"/>
      <c r="IM15" s="207"/>
      <c r="IN15" s="207"/>
      <c r="IO15" s="207"/>
      <c r="IP15" s="207"/>
      <c r="IQ15" s="207"/>
      <c r="IR15" s="207"/>
      <c r="IS15" s="207"/>
      <c r="IT15" s="207"/>
      <c r="IU15" s="207"/>
      <c r="IV15" s="207"/>
      <c r="IW15" s="207"/>
      <c r="IX15" s="207"/>
      <c r="IY15" s="207"/>
      <c r="IZ15" s="207"/>
      <c r="JA15" s="207"/>
      <c r="JB15" s="207"/>
      <c r="JC15" s="207"/>
      <c r="JD15" s="207"/>
      <c r="JE15" s="207"/>
      <c r="JF15" s="207"/>
      <c r="JG15" s="207"/>
      <c r="JH15" s="207"/>
      <c r="JI15" s="207"/>
      <c r="JJ15" s="207"/>
      <c r="JK15" s="207"/>
      <c r="JL15" s="207"/>
      <c r="JM15" s="207"/>
      <c r="JN15" s="207"/>
      <c r="JO15" s="207"/>
      <c r="JP15" s="207"/>
      <c r="JQ15" s="207"/>
      <c r="JR15" s="207"/>
      <c r="JS15" s="207"/>
      <c r="JT15" s="207"/>
      <c r="JU15" s="207"/>
      <c r="JV15" s="207"/>
      <c r="JW15" s="207"/>
      <c r="JX15" s="207"/>
      <c r="JY15" s="207"/>
      <c r="JZ15" s="207"/>
      <c r="KA15" s="207"/>
      <c r="KB15" s="207"/>
      <c r="KC15" s="207"/>
      <c r="KD15" s="207"/>
      <c r="KE15" s="207"/>
      <c r="KF15" s="207"/>
      <c r="KG15" s="207"/>
      <c r="KH15" s="207"/>
      <c r="KI15" s="207"/>
      <c r="KJ15" s="207"/>
      <c r="KK15" s="207"/>
      <c r="KL15" s="207"/>
      <c r="KM15" s="207"/>
      <c r="KN15" s="207"/>
      <c r="KO15" s="207"/>
      <c r="KP15" s="207"/>
      <c r="KQ15" s="207"/>
      <c r="KR15" s="207"/>
      <c r="KS15" s="207"/>
      <c r="KT15" s="207"/>
      <c r="KU15" s="207"/>
      <c r="KV15" s="207"/>
      <c r="KW15" s="207"/>
      <c r="KX15" s="207"/>
      <c r="KY15" s="207"/>
      <c r="KZ15" s="207"/>
      <c r="LA15" s="207"/>
      <c r="LB15" s="207"/>
      <c r="LC15" s="207"/>
      <c r="LD15" s="207"/>
      <c r="LE15" s="207"/>
      <c r="LF15" s="207"/>
      <c r="LG15" s="207"/>
      <c r="LH15" s="207"/>
      <c r="LI15" s="207"/>
      <c r="LJ15" s="207"/>
      <c r="LK15" s="207"/>
      <c r="LL15" s="207"/>
      <c r="LM15" s="207"/>
      <c r="LN15" s="207"/>
      <c r="LO15" s="207"/>
      <c r="LP15" s="207"/>
      <c r="LQ15" s="207"/>
      <c r="LR15" s="207"/>
      <c r="LS15" s="207"/>
      <c r="LT15" s="207"/>
      <c r="LU15" s="207"/>
      <c r="LV15" s="207"/>
      <c r="LW15" s="207"/>
      <c r="LX15" s="207"/>
      <c r="LY15" s="207"/>
      <c r="LZ15" s="207"/>
      <c r="MA15" s="207"/>
      <c r="MB15" s="207"/>
      <c r="MC15" s="207"/>
      <c r="MD15" s="207"/>
      <c r="ME15" s="207"/>
      <c r="MF15" s="207"/>
      <c r="MG15" s="207"/>
      <c r="MH15" s="207"/>
      <c r="MI15" s="207"/>
      <c r="MJ15" s="207"/>
      <c r="MK15" s="207"/>
      <c r="ML15" s="207"/>
      <c r="MM15" s="207"/>
      <c r="MN15" s="207"/>
      <c r="MO15" s="207"/>
      <c r="MP15" s="207"/>
      <c r="MQ15" s="207"/>
      <c r="MR15" s="207"/>
      <c r="MS15" s="207"/>
      <c r="MT15" s="207"/>
      <c r="MU15" s="207"/>
      <c r="MV15" s="207"/>
      <c r="MW15" s="207"/>
      <c r="MX15" s="207"/>
      <c r="MY15" s="207"/>
      <c r="MZ15" s="207"/>
      <c r="NA15" s="207"/>
      <c r="NB15" s="207"/>
      <c r="NC15" s="207"/>
      <c r="ND15" s="207"/>
      <c r="NE15" s="207"/>
      <c r="NF15" s="207"/>
      <c r="NG15" s="207"/>
      <c r="NH15" s="207"/>
      <c r="NI15" s="207"/>
      <c r="NJ15" s="207"/>
      <c r="NK15" s="207"/>
      <c r="NL15" s="207"/>
      <c r="NM15" s="207"/>
      <c r="NN15" s="207"/>
      <c r="NO15" s="207"/>
      <c r="NP15" s="207"/>
      <c r="NQ15" s="207"/>
      <c r="NR15" s="207"/>
      <c r="NS15" s="207"/>
      <c r="NT15" s="207"/>
      <c r="NU15" s="207"/>
      <c r="NV15" s="207"/>
      <c r="NW15" s="207"/>
      <c r="NX15" s="207"/>
      <c r="NY15" s="207"/>
      <c r="NZ15" s="207"/>
      <c r="OA15" s="207"/>
      <c r="OB15" s="207"/>
      <c r="OC15" s="207"/>
      <c r="OD15" s="207"/>
      <c r="OE15" s="207"/>
      <c r="OF15" s="207"/>
      <c r="OG15" s="207"/>
      <c r="OH15" s="207"/>
      <c r="OI15" s="207"/>
      <c r="OJ15" s="207"/>
      <c r="OK15" s="207"/>
      <c r="OL15" s="207"/>
      <c r="OM15" s="207"/>
      <c r="ON15" s="207"/>
      <c r="OO15" s="207"/>
      <c r="OP15" s="207"/>
      <c r="OQ15" s="207"/>
      <c r="OR15" s="207"/>
      <c r="OS15" s="207"/>
      <c r="OT15" s="207"/>
      <c r="OU15" s="207"/>
      <c r="OV15" s="207"/>
      <c r="OW15" s="207"/>
      <c r="OX15" s="207"/>
      <c r="OY15" s="207"/>
      <c r="OZ15" s="207"/>
      <c r="PA15" s="207"/>
      <c r="PB15" s="207"/>
      <c r="PC15" s="207"/>
      <c r="PD15" s="207"/>
      <c r="PE15" s="207"/>
      <c r="PF15" s="207"/>
      <c r="PG15" s="207"/>
      <c r="PH15" s="207"/>
      <c r="PI15" s="207"/>
      <c r="PJ15" s="207"/>
      <c r="PK15" s="207"/>
      <c r="PL15" s="207"/>
      <c r="PM15" s="207"/>
      <c r="PN15" s="207"/>
      <c r="PO15" s="207"/>
      <c r="PP15" s="207"/>
      <c r="PQ15" s="207"/>
      <c r="PR15" s="207"/>
      <c r="PS15" s="207"/>
      <c r="PT15" s="207"/>
      <c r="PU15" s="207"/>
      <c r="PV15" s="207"/>
      <c r="PW15" s="207"/>
      <c r="PX15" s="207"/>
      <c r="PY15" s="207"/>
      <c r="PZ15" s="207"/>
      <c r="QA15" s="207"/>
      <c r="QB15" s="207"/>
      <c r="QC15" s="207"/>
      <c r="QD15" s="207"/>
      <c r="QE15" s="207"/>
      <c r="QF15" s="207"/>
      <c r="QG15" s="207"/>
      <c r="QH15" s="207"/>
      <c r="QI15" s="207"/>
      <c r="QJ15" s="207"/>
      <c r="QK15" s="207"/>
      <c r="QL15" s="207"/>
      <c r="QM15" s="207"/>
      <c r="QN15" s="207"/>
      <c r="QO15" s="207"/>
      <c r="QP15" s="207"/>
      <c r="QQ15" s="207"/>
      <c r="QR15" s="207"/>
      <c r="QS15" s="207"/>
      <c r="QT15" s="207"/>
      <c r="QU15" s="207"/>
      <c r="QV15" s="207"/>
      <c r="QW15" s="207"/>
      <c r="QX15" s="207"/>
      <c r="QY15" s="207"/>
      <c r="QZ15" s="207"/>
      <c r="RA15" s="207"/>
      <c r="RB15" s="207"/>
      <c r="RC15" s="207"/>
      <c r="RD15" s="207"/>
      <c r="RE15" s="207"/>
      <c r="RF15" s="207"/>
      <c r="RG15" s="207"/>
      <c r="RH15" s="207"/>
      <c r="RI15" s="207"/>
      <c r="RJ15" s="207"/>
      <c r="RK15" s="207"/>
      <c r="RL15" s="207"/>
      <c r="RM15" s="207"/>
      <c r="RN15" s="207"/>
      <c r="RO15" s="207"/>
      <c r="RP15" s="207"/>
      <c r="RQ15" s="207"/>
      <c r="RR15" s="207"/>
      <c r="RS15" s="207"/>
      <c r="RT15" s="207"/>
      <c r="RU15" s="207"/>
      <c r="RV15" s="207"/>
      <c r="RW15" s="207"/>
      <c r="RX15" s="207"/>
      <c r="RY15" s="207"/>
    </row>
    <row r="16" spans="1:493" s="79" customFormat="1" ht="20.25" customHeight="1" thickBot="1">
      <c r="A16" s="580" t="s">
        <v>101</v>
      </c>
      <c r="B16" s="580" t="s">
        <v>641</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2">
        <f>SUM(AM17:AM18)</f>
        <v>435.5</v>
      </c>
      <c r="AN16" s="582">
        <f t="shared" ref="AN16:BF16" si="13">SUM(AN17:AN18)</f>
        <v>475.59999999999997</v>
      </c>
      <c r="AO16" s="582">
        <f t="shared" si="13"/>
        <v>396.5</v>
      </c>
      <c r="AP16" s="582">
        <f t="shared" si="13"/>
        <v>419.40000000000015</v>
      </c>
      <c r="AQ16" s="583">
        <f t="shared" si="13"/>
        <v>1727</v>
      </c>
      <c r="AR16" s="582">
        <f t="shared" si="13"/>
        <v>0</v>
      </c>
      <c r="AS16" s="582">
        <f t="shared" si="13"/>
        <v>0</v>
      </c>
      <c r="AT16" s="582">
        <f t="shared" si="13"/>
        <v>0</v>
      </c>
      <c r="AU16" s="582">
        <f t="shared" si="13"/>
        <v>0</v>
      </c>
      <c r="AV16" s="584">
        <f t="shared" si="13"/>
        <v>0</v>
      </c>
      <c r="AW16" s="582">
        <f t="shared" si="13"/>
        <v>491.2</v>
      </c>
      <c r="AX16" s="582">
        <f t="shared" si="13"/>
        <v>522.5</v>
      </c>
      <c r="AY16" s="582">
        <f t="shared" si="13"/>
        <v>459.00000000000006</v>
      </c>
      <c r="AZ16" s="582">
        <f t="shared" si="13"/>
        <v>494.30000000000013</v>
      </c>
      <c r="BA16" s="583">
        <f t="shared" si="13"/>
        <v>1967</v>
      </c>
      <c r="BB16" s="582">
        <f t="shared" si="13"/>
        <v>462.2</v>
      </c>
      <c r="BC16" s="582">
        <f t="shared" si="13"/>
        <v>394.1</v>
      </c>
      <c r="BD16" s="582">
        <f t="shared" si="13"/>
        <v>505.9</v>
      </c>
      <c r="BE16" s="582">
        <f t="shared" si="13"/>
        <v>524</v>
      </c>
      <c r="BF16" s="583">
        <f t="shared" si="13"/>
        <v>1886.2</v>
      </c>
      <c r="BG16" s="582">
        <f t="shared" ref="BG16:BK16" si="14">SUM(BG17:BG18)</f>
        <v>561.5</v>
      </c>
      <c r="BH16" s="582">
        <f t="shared" si="14"/>
        <v>683.7</v>
      </c>
      <c r="BI16" s="582">
        <f t="shared" si="14"/>
        <v>0</v>
      </c>
      <c r="BJ16" s="582">
        <f t="shared" si="14"/>
        <v>0</v>
      </c>
      <c r="BK16" s="583">
        <f t="shared" si="14"/>
        <v>1245.2</v>
      </c>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row>
    <row r="17" spans="1:493" s="208" customFormat="1" ht="20.100000000000001" customHeight="1">
      <c r="A17" s="198" t="s">
        <v>89</v>
      </c>
      <c r="B17" s="199" t="s">
        <v>90</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12">
        <v>310.7</v>
      </c>
      <c r="AN17" s="212">
        <v>334.7</v>
      </c>
      <c r="AO17" s="212">
        <v>312.39999999999998</v>
      </c>
      <c r="AP17" s="212">
        <v>257.10000000000014</v>
      </c>
      <c r="AQ17" s="295">
        <f t="shared" ref="AQ17:AQ21" si="15">SUM(AM17:AP17)</f>
        <v>1214.9000000000001</v>
      </c>
      <c r="AR17" s="212"/>
      <c r="AS17" s="212"/>
      <c r="AT17" s="212"/>
      <c r="AU17" s="212"/>
      <c r="AV17" s="202"/>
      <c r="AW17" s="212">
        <v>360.4</v>
      </c>
      <c r="AX17" s="212">
        <v>376.4</v>
      </c>
      <c r="AY17" s="212">
        <v>377.20000000000005</v>
      </c>
      <c r="AZ17" s="212">
        <v>314.40000000000009</v>
      </c>
      <c r="BA17" s="295">
        <f>SUM(AW17:AZ17)</f>
        <v>1428.4</v>
      </c>
      <c r="BB17" s="212">
        <v>330.2</v>
      </c>
      <c r="BC17" s="212">
        <v>290.7</v>
      </c>
      <c r="BD17" s="212">
        <v>388.1</v>
      </c>
      <c r="BE17" s="212">
        <v>342.5</v>
      </c>
      <c r="BF17" s="295">
        <f>SUM(BB17:BE17)</f>
        <v>1351.5</v>
      </c>
      <c r="BG17" s="212">
        <v>435.8</v>
      </c>
      <c r="BH17" s="212">
        <f>971.7-BG17</f>
        <v>535.90000000000009</v>
      </c>
      <c r="BI17" s="212"/>
      <c r="BJ17" s="212"/>
      <c r="BK17" s="295">
        <f>SUM(BG17:BJ17)</f>
        <v>971.7</v>
      </c>
      <c r="BL17" s="197"/>
      <c r="BM17" s="19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c r="IC17" s="207"/>
      <c r="ID17" s="207"/>
      <c r="IE17" s="207"/>
      <c r="IF17" s="207"/>
      <c r="IG17" s="207"/>
      <c r="IH17" s="207"/>
      <c r="II17" s="207"/>
      <c r="IJ17" s="207"/>
      <c r="IK17" s="207"/>
      <c r="IL17" s="207"/>
      <c r="IM17" s="207"/>
      <c r="IN17" s="207"/>
      <c r="IO17" s="207"/>
      <c r="IP17" s="207"/>
      <c r="IQ17" s="207"/>
      <c r="IR17" s="207"/>
      <c r="IS17" s="207"/>
      <c r="IT17" s="207"/>
      <c r="IU17" s="207"/>
      <c r="IV17" s="207"/>
      <c r="IW17" s="207"/>
      <c r="IX17" s="207"/>
      <c r="IY17" s="207"/>
      <c r="IZ17" s="207"/>
      <c r="JA17" s="207"/>
      <c r="JB17" s="207"/>
      <c r="JC17" s="207"/>
      <c r="JD17" s="207"/>
      <c r="JE17" s="207"/>
      <c r="JF17" s="207"/>
      <c r="JG17" s="207"/>
      <c r="JH17" s="207"/>
      <c r="JI17" s="207"/>
      <c r="JJ17" s="207"/>
      <c r="JK17" s="207"/>
      <c r="JL17" s="207"/>
      <c r="JM17" s="207"/>
      <c r="JN17" s="207"/>
      <c r="JO17" s="207"/>
      <c r="JP17" s="207"/>
      <c r="JQ17" s="207"/>
      <c r="JR17" s="207"/>
      <c r="JS17" s="207"/>
      <c r="JT17" s="207"/>
      <c r="JU17" s="207"/>
      <c r="JV17" s="207"/>
      <c r="JW17" s="207"/>
      <c r="JX17" s="207"/>
      <c r="JY17" s="207"/>
      <c r="JZ17" s="207"/>
      <c r="KA17" s="207"/>
      <c r="KB17" s="207"/>
      <c r="KC17" s="207"/>
      <c r="KD17" s="207"/>
      <c r="KE17" s="207"/>
      <c r="KF17" s="207"/>
      <c r="KG17" s="207"/>
      <c r="KH17" s="207"/>
      <c r="KI17" s="207"/>
      <c r="KJ17" s="207"/>
      <c r="KK17" s="207"/>
      <c r="KL17" s="207"/>
      <c r="KM17" s="207"/>
      <c r="KN17" s="207"/>
      <c r="KO17" s="207"/>
      <c r="KP17" s="207"/>
      <c r="KQ17" s="207"/>
      <c r="KR17" s="207"/>
      <c r="KS17" s="207"/>
      <c r="KT17" s="207"/>
      <c r="KU17" s="207"/>
      <c r="KV17" s="207"/>
      <c r="KW17" s="207"/>
      <c r="KX17" s="207"/>
      <c r="KY17" s="207"/>
      <c r="KZ17" s="207"/>
      <c r="LA17" s="207"/>
      <c r="LB17" s="207"/>
      <c r="LC17" s="207"/>
      <c r="LD17" s="207"/>
      <c r="LE17" s="207"/>
      <c r="LF17" s="207"/>
      <c r="LG17" s="207"/>
      <c r="LH17" s="207"/>
      <c r="LI17" s="207"/>
      <c r="LJ17" s="207"/>
      <c r="LK17" s="207"/>
      <c r="LL17" s="207"/>
      <c r="LM17" s="207"/>
      <c r="LN17" s="207"/>
      <c r="LO17" s="207"/>
      <c r="LP17" s="207"/>
      <c r="LQ17" s="207"/>
      <c r="LR17" s="207"/>
      <c r="LS17" s="207"/>
      <c r="LT17" s="207"/>
      <c r="LU17" s="207"/>
      <c r="LV17" s="207"/>
      <c r="LW17" s="207"/>
      <c r="LX17" s="207"/>
      <c r="LY17" s="207"/>
      <c r="LZ17" s="207"/>
      <c r="MA17" s="207"/>
      <c r="MB17" s="207"/>
      <c r="MC17" s="207"/>
      <c r="MD17" s="207"/>
      <c r="ME17" s="207"/>
      <c r="MF17" s="207"/>
      <c r="MG17" s="207"/>
      <c r="MH17" s="207"/>
      <c r="MI17" s="207"/>
      <c r="MJ17" s="207"/>
      <c r="MK17" s="207"/>
      <c r="ML17" s="207"/>
      <c r="MM17" s="207"/>
      <c r="MN17" s="207"/>
      <c r="MO17" s="207"/>
      <c r="MP17" s="207"/>
      <c r="MQ17" s="207"/>
      <c r="MR17" s="207"/>
      <c r="MS17" s="207"/>
      <c r="MT17" s="207"/>
      <c r="MU17" s="207"/>
      <c r="MV17" s="207"/>
      <c r="MW17" s="207"/>
      <c r="MX17" s="207"/>
      <c r="MY17" s="207"/>
      <c r="MZ17" s="207"/>
      <c r="NA17" s="207"/>
      <c r="NB17" s="207"/>
      <c r="NC17" s="207"/>
      <c r="ND17" s="207"/>
      <c r="NE17" s="207"/>
      <c r="NF17" s="207"/>
      <c r="NG17" s="207"/>
      <c r="NH17" s="207"/>
      <c r="NI17" s="207"/>
      <c r="NJ17" s="207"/>
      <c r="NK17" s="207"/>
      <c r="NL17" s="207"/>
      <c r="NM17" s="207"/>
      <c r="NN17" s="207"/>
      <c r="NO17" s="207"/>
      <c r="NP17" s="207"/>
      <c r="NQ17" s="207"/>
      <c r="NR17" s="207"/>
      <c r="NS17" s="207"/>
      <c r="NT17" s="207"/>
      <c r="NU17" s="207"/>
      <c r="NV17" s="207"/>
      <c r="NW17" s="207"/>
      <c r="NX17" s="207"/>
      <c r="NY17" s="207"/>
      <c r="NZ17" s="207"/>
      <c r="OA17" s="207"/>
      <c r="OB17" s="207"/>
      <c r="OC17" s="207"/>
      <c r="OD17" s="207"/>
      <c r="OE17" s="207"/>
      <c r="OF17" s="207"/>
      <c r="OG17" s="207"/>
      <c r="OH17" s="207"/>
      <c r="OI17" s="207"/>
      <c r="OJ17" s="207"/>
      <c r="OK17" s="207"/>
      <c r="OL17" s="207"/>
      <c r="OM17" s="207"/>
      <c r="ON17" s="207"/>
      <c r="OO17" s="207"/>
      <c r="OP17" s="207"/>
      <c r="OQ17" s="207"/>
      <c r="OR17" s="207"/>
      <c r="OS17" s="207"/>
      <c r="OT17" s="207"/>
      <c r="OU17" s="207"/>
      <c r="OV17" s="207"/>
      <c r="OW17" s="207"/>
      <c r="OX17" s="207"/>
      <c r="OY17" s="207"/>
      <c r="OZ17" s="207"/>
      <c r="PA17" s="207"/>
      <c r="PB17" s="207"/>
      <c r="PC17" s="207"/>
      <c r="PD17" s="207"/>
      <c r="PE17" s="207"/>
      <c r="PF17" s="207"/>
      <c r="PG17" s="207"/>
      <c r="PH17" s="207"/>
      <c r="PI17" s="207"/>
      <c r="PJ17" s="207"/>
      <c r="PK17" s="207"/>
      <c r="PL17" s="207"/>
      <c r="PM17" s="207"/>
      <c r="PN17" s="207"/>
      <c r="PO17" s="207"/>
      <c r="PP17" s="207"/>
      <c r="PQ17" s="207"/>
      <c r="PR17" s="207"/>
      <c r="PS17" s="207"/>
      <c r="PT17" s="207"/>
      <c r="PU17" s="207"/>
      <c r="PV17" s="207"/>
      <c r="PW17" s="207"/>
      <c r="PX17" s="207"/>
      <c r="PY17" s="207"/>
      <c r="PZ17" s="207"/>
      <c r="QA17" s="207"/>
      <c r="QB17" s="207"/>
      <c r="QC17" s="207"/>
      <c r="QD17" s="207"/>
      <c r="QE17" s="207"/>
      <c r="QF17" s="207"/>
      <c r="QG17" s="207"/>
      <c r="QH17" s="207"/>
      <c r="QI17" s="207"/>
      <c r="QJ17" s="207"/>
      <c r="QK17" s="207"/>
      <c r="QL17" s="207"/>
      <c r="QM17" s="207"/>
      <c r="QN17" s="207"/>
      <c r="QO17" s="207"/>
      <c r="QP17" s="207"/>
      <c r="QQ17" s="207"/>
      <c r="QR17" s="207"/>
      <c r="QS17" s="207"/>
      <c r="QT17" s="207"/>
      <c r="QU17" s="207"/>
      <c r="QV17" s="207"/>
      <c r="QW17" s="207"/>
      <c r="QX17" s="207"/>
      <c r="QY17" s="207"/>
      <c r="QZ17" s="207"/>
      <c r="RA17" s="207"/>
      <c r="RB17" s="207"/>
      <c r="RC17" s="207"/>
      <c r="RD17" s="207"/>
      <c r="RE17" s="207"/>
      <c r="RF17" s="207"/>
      <c r="RG17" s="207"/>
      <c r="RH17" s="207"/>
      <c r="RI17" s="207"/>
      <c r="RJ17" s="207"/>
      <c r="RK17" s="207"/>
      <c r="RL17" s="207"/>
      <c r="RM17" s="207"/>
      <c r="RN17" s="207"/>
      <c r="RO17" s="207"/>
      <c r="RP17" s="207"/>
      <c r="RQ17" s="207"/>
      <c r="RR17" s="207"/>
      <c r="RS17" s="207"/>
      <c r="RT17" s="207"/>
      <c r="RU17" s="207"/>
      <c r="RV17" s="207"/>
      <c r="RW17" s="207"/>
      <c r="RX17" s="207"/>
      <c r="RY17" s="207"/>
    </row>
    <row r="18" spans="1:493" s="208" customFormat="1" ht="20.100000000000001" customHeight="1" thickBot="1">
      <c r="A18" s="198" t="s">
        <v>91</v>
      </c>
      <c r="B18" s="199" t="s">
        <v>92</v>
      </c>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12">
        <v>124.8</v>
      </c>
      <c r="AN18" s="212">
        <v>140.89999999999998</v>
      </c>
      <c r="AO18" s="212">
        <v>84.100000000000023</v>
      </c>
      <c r="AP18" s="212">
        <v>162.30000000000001</v>
      </c>
      <c r="AQ18" s="295">
        <f t="shared" si="15"/>
        <v>512.1</v>
      </c>
      <c r="AR18" s="212"/>
      <c r="AS18" s="212"/>
      <c r="AT18" s="212"/>
      <c r="AU18" s="212"/>
      <c r="AV18" s="202"/>
      <c r="AW18" s="212">
        <v>130.80000000000001</v>
      </c>
      <c r="AX18" s="212">
        <v>146.09999999999997</v>
      </c>
      <c r="AY18" s="212">
        <v>81.800000000000011</v>
      </c>
      <c r="AZ18" s="212">
        <v>179.90000000000003</v>
      </c>
      <c r="BA18" s="295">
        <f>SUM(AW18:AZ18)</f>
        <v>538.6</v>
      </c>
      <c r="BB18" s="212">
        <v>132</v>
      </c>
      <c r="BC18" s="212">
        <v>103.4</v>
      </c>
      <c r="BD18" s="212">
        <v>117.79999999999998</v>
      </c>
      <c r="BE18" s="212">
        <v>181.50000000000006</v>
      </c>
      <c r="BF18" s="295">
        <f>SUM(BB18:BE18)</f>
        <v>534.70000000000005</v>
      </c>
      <c r="BG18" s="212">
        <v>125.7</v>
      </c>
      <c r="BH18" s="212">
        <f>273.5-BG18</f>
        <v>147.80000000000001</v>
      </c>
      <c r="BI18" s="212"/>
      <c r="BJ18" s="212"/>
      <c r="BK18" s="295">
        <f>SUM(BG18:BJ18)</f>
        <v>273.5</v>
      </c>
      <c r="BL18" s="197"/>
      <c r="BM18" s="19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c r="IC18" s="207"/>
      <c r="ID18" s="207"/>
      <c r="IE18" s="207"/>
      <c r="IF18" s="207"/>
      <c r="IG18" s="207"/>
      <c r="IH18" s="207"/>
      <c r="II18" s="207"/>
      <c r="IJ18" s="207"/>
      <c r="IK18" s="207"/>
      <c r="IL18" s="207"/>
      <c r="IM18" s="207"/>
      <c r="IN18" s="207"/>
      <c r="IO18" s="207"/>
      <c r="IP18" s="207"/>
      <c r="IQ18" s="207"/>
      <c r="IR18" s="207"/>
      <c r="IS18" s="207"/>
      <c r="IT18" s="207"/>
      <c r="IU18" s="207"/>
      <c r="IV18" s="207"/>
      <c r="IW18" s="207"/>
      <c r="IX18" s="207"/>
      <c r="IY18" s="207"/>
      <c r="IZ18" s="207"/>
      <c r="JA18" s="207"/>
      <c r="JB18" s="207"/>
      <c r="JC18" s="207"/>
      <c r="JD18" s="207"/>
      <c r="JE18" s="207"/>
      <c r="JF18" s="207"/>
      <c r="JG18" s="207"/>
      <c r="JH18" s="207"/>
      <c r="JI18" s="207"/>
      <c r="JJ18" s="207"/>
      <c r="JK18" s="207"/>
      <c r="JL18" s="207"/>
      <c r="JM18" s="207"/>
      <c r="JN18" s="207"/>
      <c r="JO18" s="207"/>
      <c r="JP18" s="207"/>
      <c r="JQ18" s="207"/>
      <c r="JR18" s="207"/>
      <c r="JS18" s="207"/>
      <c r="JT18" s="207"/>
      <c r="JU18" s="207"/>
      <c r="JV18" s="207"/>
      <c r="JW18" s="207"/>
      <c r="JX18" s="207"/>
      <c r="JY18" s="207"/>
      <c r="JZ18" s="207"/>
      <c r="KA18" s="207"/>
      <c r="KB18" s="207"/>
      <c r="KC18" s="207"/>
      <c r="KD18" s="207"/>
      <c r="KE18" s="207"/>
      <c r="KF18" s="207"/>
      <c r="KG18" s="207"/>
      <c r="KH18" s="207"/>
      <c r="KI18" s="207"/>
      <c r="KJ18" s="207"/>
      <c r="KK18" s="207"/>
      <c r="KL18" s="207"/>
      <c r="KM18" s="207"/>
      <c r="KN18" s="207"/>
      <c r="KO18" s="207"/>
      <c r="KP18" s="207"/>
      <c r="KQ18" s="207"/>
      <c r="KR18" s="207"/>
      <c r="KS18" s="207"/>
      <c r="KT18" s="207"/>
      <c r="KU18" s="207"/>
      <c r="KV18" s="207"/>
      <c r="KW18" s="207"/>
      <c r="KX18" s="207"/>
      <c r="KY18" s="207"/>
      <c r="KZ18" s="207"/>
      <c r="LA18" s="207"/>
      <c r="LB18" s="207"/>
      <c r="LC18" s="207"/>
      <c r="LD18" s="207"/>
      <c r="LE18" s="207"/>
      <c r="LF18" s="207"/>
      <c r="LG18" s="207"/>
      <c r="LH18" s="207"/>
      <c r="LI18" s="207"/>
      <c r="LJ18" s="207"/>
      <c r="LK18" s="207"/>
      <c r="LL18" s="207"/>
      <c r="LM18" s="207"/>
      <c r="LN18" s="207"/>
      <c r="LO18" s="207"/>
      <c r="LP18" s="207"/>
      <c r="LQ18" s="207"/>
      <c r="LR18" s="207"/>
      <c r="LS18" s="207"/>
      <c r="LT18" s="207"/>
      <c r="LU18" s="207"/>
      <c r="LV18" s="207"/>
      <c r="LW18" s="207"/>
      <c r="LX18" s="207"/>
      <c r="LY18" s="207"/>
      <c r="LZ18" s="207"/>
      <c r="MA18" s="207"/>
      <c r="MB18" s="207"/>
      <c r="MC18" s="207"/>
      <c r="MD18" s="207"/>
      <c r="ME18" s="207"/>
      <c r="MF18" s="207"/>
      <c r="MG18" s="207"/>
      <c r="MH18" s="207"/>
      <c r="MI18" s="207"/>
      <c r="MJ18" s="207"/>
      <c r="MK18" s="207"/>
      <c r="ML18" s="207"/>
      <c r="MM18" s="207"/>
      <c r="MN18" s="207"/>
      <c r="MO18" s="207"/>
      <c r="MP18" s="207"/>
      <c r="MQ18" s="207"/>
      <c r="MR18" s="207"/>
      <c r="MS18" s="207"/>
      <c r="MT18" s="207"/>
      <c r="MU18" s="207"/>
      <c r="MV18" s="207"/>
      <c r="MW18" s="207"/>
      <c r="MX18" s="207"/>
      <c r="MY18" s="207"/>
      <c r="MZ18" s="207"/>
      <c r="NA18" s="207"/>
      <c r="NB18" s="207"/>
      <c r="NC18" s="207"/>
      <c r="ND18" s="207"/>
      <c r="NE18" s="207"/>
      <c r="NF18" s="207"/>
      <c r="NG18" s="207"/>
      <c r="NH18" s="207"/>
      <c r="NI18" s="207"/>
      <c r="NJ18" s="207"/>
      <c r="NK18" s="207"/>
      <c r="NL18" s="207"/>
      <c r="NM18" s="207"/>
      <c r="NN18" s="207"/>
      <c r="NO18" s="207"/>
      <c r="NP18" s="207"/>
      <c r="NQ18" s="207"/>
      <c r="NR18" s="207"/>
      <c r="NS18" s="207"/>
      <c r="NT18" s="207"/>
      <c r="NU18" s="207"/>
      <c r="NV18" s="207"/>
      <c r="NW18" s="207"/>
      <c r="NX18" s="207"/>
      <c r="NY18" s="207"/>
      <c r="NZ18" s="207"/>
      <c r="OA18" s="207"/>
      <c r="OB18" s="207"/>
      <c r="OC18" s="207"/>
      <c r="OD18" s="207"/>
      <c r="OE18" s="207"/>
      <c r="OF18" s="207"/>
      <c r="OG18" s="207"/>
      <c r="OH18" s="207"/>
      <c r="OI18" s="207"/>
      <c r="OJ18" s="207"/>
      <c r="OK18" s="207"/>
      <c r="OL18" s="207"/>
      <c r="OM18" s="207"/>
      <c r="ON18" s="207"/>
      <c r="OO18" s="207"/>
      <c r="OP18" s="207"/>
      <c r="OQ18" s="207"/>
      <c r="OR18" s="207"/>
      <c r="OS18" s="207"/>
      <c r="OT18" s="207"/>
      <c r="OU18" s="207"/>
      <c r="OV18" s="207"/>
      <c r="OW18" s="207"/>
      <c r="OX18" s="207"/>
      <c r="OY18" s="207"/>
      <c r="OZ18" s="207"/>
      <c r="PA18" s="207"/>
      <c r="PB18" s="207"/>
      <c r="PC18" s="207"/>
      <c r="PD18" s="207"/>
      <c r="PE18" s="207"/>
      <c r="PF18" s="207"/>
      <c r="PG18" s="207"/>
      <c r="PH18" s="207"/>
      <c r="PI18" s="207"/>
      <c r="PJ18" s="207"/>
      <c r="PK18" s="207"/>
      <c r="PL18" s="207"/>
      <c r="PM18" s="207"/>
      <c r="PN18" s="207"/>
      <c r="PO18" s="207"/>
      <c r="PP18" s="207"/>
      <c r="PQ18" s="207"/>
      <c r="PR18" s="207"/>
      <c r="PS18" s="207"/>
      <c r="PT18" s="207"/>
      <c r="PU18" s="207"/>
      <c r="PV18" s="207"/>
      <c r="PW18" s="207"/>
      <c r="PX18" s="207"/>
      <c r="PY18" s="207"/>
      <c r="PZ18" s="207"/>
      <c r="QA18" s="207"/>
      <c r="QB18" s="207"/>
      <c r="QC18" s="207"/>
      <c r="QD18" s="207"/>
      <c r="QE18" s="207"/>
      <c r="QF18" s="207"/>
      <c r="QG18" s="207"/>
      <c r="QH18" s="207"/>
      <c r="QI18" s="207"/>
      <c r="QJ18" s="207"/>
      <c r="QK18" s="207"/>
      <c r="QL18" s="207"/>
      <c r="QM18" s="207"/>
      <c r="QN18" s="207"/>
      <c r="QO18" s="207"/>
      <c r="QP18" s="207"/>
      <c r="QQ18" s="207"/>
      <c r="QR18" s="207"/>
      <c r="QS18" s="207"/>
      <c r="QT18" s="207"/>
      <c r="QU18" s="207"/>
      <c r="QV18" s="207"/>
      <c r="QW18" s="207"/>
      <c r="QX18" s="207"/>
      <c r="QY18" s="207"/>
      <c r="QZ18" s="207"/>
      <c r="RA18" s="207"/>
      <c r="RB18" s="207"/>
      <c r="RC18" s="207"/>
      <c r="RD18" s="207"/>
      <c r="RE18" s="207"/>
      <c r="RF18" s="207"/>
      <c r="RG18" s="207"/>
      <c r="RH18" s="207"/>
      <c r="RI18" s="207"/>
      <c r="RJ18" s="207"/>
      <c r="RK18" s="207"/>
      <c r="RL18" s="207"/>
      <c r="RM18" s="207"/>
      <c r="RN18" s="207"/>
      <c r="RO18" s="207"/>
      <c r="RP18" s="207"/>
      <c r="RQ18" s="207"/>
      <c r="RR18" s="207"/>
      <c r="RS18" s="207"/>
      <c r="RT18" s="207"/>
      <c r="RU18" s="207"/>
      <c r="RV18" s="207"/>
      <c r="RW18" s="207"/>
      <c r="RX18" s="207"/>
      <c r="RY18" s="207"/>
    </row>
    <row r="19" spans="1:493" s="79" customFormat="1" ht="33" thickBot="1">
      <c r="A19" s="580" t="s">
        <v>102</v>
      </c>
      <c r="B19" s="580" t="s">
        <v>642</v>
      </c>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581"/>
      <c r="AM19" s="582">
        <f>AM20+AM21</f>
        <v>174.39999999999998</v>
      </c>
      <c r="AN19" s="582">
        <f>AN20+AN21</f>
        <v>176.20000000000005</v>
      </c>
      <c r="AO19" s="582">
        <f>AO20+AO21</f>
        <v>282.79999999999995</v>
      </c>
      <c r="AP19" s="582">
        <f>AP20+AP21</f>
        <v>295</v>
      </c>
      <c r="AQ19" s="583">
        <f t="shared" si="15"/>
        <v>928.4</v>
      </c>
      <c r="AR19" s="582"/>
      <c r="AS19" s="582"/>
      <c r="AT19" s="582"/>
      <c r="AU19" s="582"/>
      <c r="AV19" s="584"/>
      <c r="AW19" s="582">
        <f>AW20+AW21</f>
        <v>359.9</v>
      </c>
      <c r="AX19" s="582">
        <f>AX20+AX21</f>
        <v>276.39999999999998</v>
      </c>
      <c r="AY19" s="582">
        <f>AY20+AY21</f>
        <v>318.29999999999995</v>
      </c>
      <c r="AZ19" s="582">
        <f>AZ20+AZ21</f>
        <v>277</v>
      </c>
      <c r="BA19" s="583">
        <f>SUM(AW19:AZ19)</f>
        <v>1231.5999999999999</v>
      </c>
      <c r="BB19" s="582">
        <f t="shared" ref="BB19:BK19" si="16">BB20+BB21</f>
        <v>307.39999999999998</v>
      </c>
      <c r="BC19" s="582">
        <f t="shared" si="16"/>
        <v>228.30000000000007</v>
      </c>
      <c r="BD19" s="582">
        <f t="shared" si="16"/>
        <v>251.99999999999989</v>
      </c>
      <c r="BE19" s="582">
        <f t="shared" si="16"/>
        <v>430.20000000000016</v>
      </c>
      <c r="BF19" s="583">
        <f t="shared" si="16"/>
        <v>1217.9000000000001</v>
      </c>
      <c r="BG19" s="582">
        <f t="shared" si="16"/>
        <v>335.5</v>
      </c>
      <c r="BH19" s="582">
        <f t="shared" si="16"/>
        <v>334.49999999999994</v>
      </c>
      <c r="BI19" s="582">
        <f t="shared" si="16"/>
        <v>0</v>
      </c>
      <c r="BJ19" s="582">
        <f t="shared" si="16"/>
        <v>0</v>
      </c>
      <c r="BK19" s="583">
        <f t="shared" si="16"/>
        <v>670</v>
      </c>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5"/>
      <c r="MU19" s="15"/>
      <c r="MV19" s="15"/>
      <c r="MW19" s="15"/>
      <c r="MX19" s="15"/>
      <c r="MY19" s="15"/>
      <c r="MZ19" s="15"/>
      <c r="NA19" s="15"/>
      <c r="NB19" s="15"/>
      <c r="NC19" s="15"/>
      <c r="ND19" s="15"/>
      <c r="NE19" s="15"/>
      <c r="NF19" s="15"/>
      <c r="NG19" s="15"/>
      <c r="NH19" s="15"/>
      <c r="NI19" s="15"/>
      <c r="NJ19" s="15"/>
      <c r="NK19" s="15"/>
      <c r="NL19" s="15"/>
      <c r="NM19" s="15"/>
      <c r="NN19" s="15"/>
      <c r="NO19" s="15"/>
      <c r="NP19" s="15"/>
      <c r="NQ19" s="15"/>
      <c r="NR19" s="15"/>
      <c r="NS19" s="15"/>
      <c r="NT19" s="15"/>
      <c r="NU19" s="15"/>
      <c r="NV19" s="15"/>
      <c r="NW19" s="15"/>
      <c r="NX19" s="15"/>
      <c r="NY19" s="15"/>
      <c r="NZ19" s="15"/>
      <c r="OA19" s="15"/>
      <c r="OB19" s="15"/>
      <c r="OC19" s="15"/>
      <c r="OD19" s="15"/>
      <c r="OE19" s="15"/>
      <c r="OF19" s="15"/>
      <c r="OG19" s="15"/>
      <c r="OH19" s="15"/>
      <c r="OI19" s="15"/>
      <c r="OJ19" s="15"/>
      <c r="OK19" s="15"/>
      <c r="OL19" s="15"/>
      <c r="OM19" s="15"/>
      <c r="ON19" s="15"/>
      <c r="OO19" s="15"/>
      <c r="OP19" s="15"/>
      <c r="OQ19" s="15"/>
      <c r="OR19" s="15"/>
      <c r="OS19" s="15"/>
      <c r="OT19" s="15"/>
      <c r="OU19" s="15"/>
      <c r="OV19" s="15"/>
      <c r="OW19" s="15"/>
      <c r="OX19" s="15"/>
      <c r="OY19" s="15"/>
      <c r="OZ19" s="15"/>
      <c r="PA19" s="15"/>
      <c r="PB19" s="15"/>
      <c r="PC19" s="15"/>
      <c r="PD19" s="15"/>
      <c r="PE19" s="15"/>
      <c r="PF19" s="15"/>
      <c r="PG19" s="15"/>
      <c r="PH19" s="15"/>
      <c r="PI19" s="15"/>
      <c r="PJ19" s="15"/>
      <c r="PK19" s="15"/>
      <c r="PL19" s="15"/>
      <c r="PM19" s="15"/>
      <c r="PN19" s="15"/>
      <c r="PO19" s="15"/>
      <c r="PP19" s="15"/>
      <c r="PQ19" s="15"/>
      <c r="PR19" s="15"/>
      <c r="PS19" s="15"/>
      <c r="PT19" s="15"/>
      <c r="PU19" s="15"/>
      <c r="PV19" s="15"/>
      <c r="PW19" s="15"/>
      <c r="PX19" s="15"/>
      <c r="PY19" s="15"/>
      <c r="PZ19" s="15"/>
      <c r="QA19" s="15"/>
      <c r="QB19" s="15"/>
      <c r="QC19" s="15"/>
      <c r="QD19" s="15"/>
      <c r="QE19" s="15"/>
      <c r="QF19" s="15"/>
      <c r="QG19" s="15"/>
      <c r="QH19" s="15"/>
      <c r="QI19" s="15"/>
      <c r="QJ19" s="15"/>
      <c r="QK19" s="15"/>
      <c r="QL19" s="15"/>
      <c r="QM19" s="15"/>
      <c r="QN19" s="15"/>
      <c r="QO19" s="15"/>
      <c r="QP19" s="15"/>
      <c r="QQ19" s="15"/>
      <c r="QR19" s="15"/>
      <c r="QS19" s="15"/>
      <c r="QT19" s="15"/>
      <c r="QU19" s="15"/>
      <c r="QV19" s="15"/>
      <c r="QW19" s="15"/>
      <c r="QX19" s="15"/>
      <c r="QY19" s="15"/>
      <c r="QZ19" s="15"/>
      <c r="RA19" s="15"/>
      <c r="RB19" s="15"/>
      <c r="RC19" s="15"/>
      <c r="RD19" s="15"/>
      <c r="RE19" s="15"/>
      <c r="RF19" s="15"/>
      <c r="RG19" s="15"/>
      <c r="RH19" s="15"/>
      <c r="RI19" s="15"/>
      <c r="RJ19" s="15"/>
      <c r="RK19" s="15"/>
      <c r="RL19" s="15"/>
      <c r="RM19" s="15"/>
      <c r="RN19" s="15"/>
      <c r="RO19" s="15"/>
      <c r="RP19" s="15"/>
      <c r="RQ19" s="15"/>
      <c r="RR19" s="15"/>
      <c r="RS19" s="15"/>
      <c r="RT19" s="15"/>
      <c r="RU19" s="15"/>
      <c r="RV19" s="15"/>
      <c r="RW19" s="15"/>
      <c r="RX19" s="15"/>
      <c r="RY19" s="15"/>
    </row>
    <row r="20" spans="1:493" s="233" customFormat="1" ht="20.100000000000001" customHeight="1">
      <c r="A20" s="228" t="s">
        <v>89</v>
      </c>
      <c r="B20" s="229" t="s">
        <v>643</v>
      </c>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1">
        <v>164.99999999999997</v>
      </c>
      <c r="AN20" s="231">
        <v>165.60000000000005</v>
      </c>
      <c r="AO20" s="231">
        <v>259.39999999999998</v>
      </c>
      <c r="AP20" s="231">
        <v>285.7</v>
      </c>
      <c r="AQ20" s="295">
        <f t="shared" si="15"/>
        <v>875.7</v>
      </c>
      <c r="AR20" s="231"/>
      <c r="AS20" s="231"/>
      <c r="AT20" s="231"/>
      <c r="AU20" s="231"/>
      <c r="AV20" s="202"/>
      <c r="AW20" s="231">
        <v>350.9</v>
      </c>
      <c r="AX20" s="231">
        <v>266</v>
      </c>
      <c r="AY20" s="231">
        <v>312.59999999999997</v>
      </c>
      <c r="AZ20" s="231">
        <v>258.39999999999998</v>
      </c>
      <c r="BA20" s="295">
        <f t="shared" ref="BA20" si="17">SUM(AW20:AZ20)</f>
        <v>1187.9000000000001</v>
      </c>
      <c r="BB20" s="231">
        <v>283.7</v>
      </c>
      <c r="BC20" s="231">
        <v>214.10000000000008</v>
      </c>
      <c r="BD20" s="231">
        <v>232.09999999999988</v>
      </c>
      <c r="BE20" s="231">
        <v>382.50000000000017</v>
      </c>
      <c r="BF20" s="295">
        <f>SUM(BB20:BE20)</f>
        <v>1112.4000000000001</v>
      </c>
      <c r="BG20" s="231">
        <v>295.3</v>
      </c>
      <c r="BH20" s="231">
        <f>610.9-BG20</f>
        <v>315.59999999999997</v>
      </c>
      <c r="BI20" s="231"/>
      <c r="BJ20" s="231"/>
      <c r="BK20" s="295">
        <f>SUM(BG20:BJ20)</f>
        <v>610.9</v>
      </c>
      <c r="BL20" s="194"/>
      <c r="BM20" s="232"/>
      <c r="BN20" s="194"/>
      <c r="BO20" s="232"/>
      <c r="BQ20" s="232"/>
    </row>
    <row r="21" spans="1:493" s="233" customFormat="1" ht="20.100000000000001" customHeight="1" thickBot="1">
      <c r="A21" s="228" t="s">
        <v>91</v>
      </c>
      <c r="B21" s="229" t="s">
        <v>92</v>
      </c>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5">
        <v>9.4</v>
      </c>
      <c r="AN21" s="235">
        <v>10.6</v>
      </c>
      <c r="AO21" s="235">
        <v>23.4</v>
      </c>
      <c r="AP21" s="235">
        <v>9.3000000000000043</v>
      </c>
      <c r="AQ21" s="295">
        <f t="shared" si="15"/>
        <v>52.7</v>
      </c>
      <c r="AR21" s="235"/>
      <c r="AS21" s="235"/>
      <c r="AT21" s="235"/>
      <c r="AU21" s="235"/>
      <c r="AV21" s="202"/>
      <c r="AW21" s="235">
        <v>9</v>
      </c>
      <c r="AX21" s="235">
        <v>10.399999999999999</v>
      </c>
      <c r="AY21" s="235">
        <v>5.7000000000000028</v>
      </c>
      <c r="AZ21" s="235">
        <v>18.600000000000001</v>
      </c>
      <c r="BA21" s="295">
        <f>SUM(AW21:AZ21)</f>
        <v>43.7</v>
      </c>
      <c r="BB21" s="235">
        <v>23.7</v>
      </c>
      <c r="BC21" s="235">
        <v>14.2</v>
      </c>
      <c r="BD21" s="235">
        <v>19.899999999999999</v>
      </c>
      <c r="BE21" s="235">
        <v>47.7</v>
      </c>
      <c r="BF21" s="295">
        <f>SUM(BB21:BE21)</f>
        <v>105.5</v>
      </c>
      <c r="BG21" s="235">
        <v>40.200000000000003</v>
      </c>
      <c r="BH21" s="235">
        <f>59.1-BG21</f>
        <v>18.899999999999999</v>
      </c>
      <c r="BI21" s="235"/>
      <c r="BJ21" s="235"/>
      <c r="BK21" s="295">
        <f>SUM(BG21:BJ21)</f>
        <v>59.1</v>
      </c>
      <c r="BL21" s="194"/>
      <c r="BM21" s="232"/>
      <c r="BN21" s="194"/>
      <c r="BO21" s="232"/>
      <c r="BQ21" s="232"/>
    </row>
    <row r="22" spans="1:493" s="79" customFormat="1" ht="30.75" thickBot="1">
      <c r="A22" s="600" t="s">
        <v>103</v>
      </c>
      <c r="B22" s="600" t="s">
        <v>104</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c r="AM22" s="602">
        <f>AM19/AM5</f>
        <v>7.4342469840999181E-2</v>
      </c>
      <c r="AN22" s="602">
        <f t="shared" ref="AN22:BA22" si="18">AN19/AN5</f>
        <v>6.7685925015365744E-2</v>
      </c>
      <c r="AO22" s="602">
        <f t="shared" si="18"/>
        <v>0.10340036563071296</v>
      </c>
      <c r="AP22" s="602">
        <f t="shared" si="18"/>
        <v>9.826782145236504E-2</v>
      </c>
      <c r="AQ22" s="603">
        <f t="shared" si="18"/>
        <v>8.6879216926661729E-2</v>
      </c>
      <c r="AR22" s="602" t="e">
        <f t="shared" si="18"/>
        <v>#DIV/0!</v>
      </c>
      <c r="AS22" s="602" t="e">
        <f t="shared" si="18"/>
        <v>#DIV/0!</v>
      </c>
      <c r="AT22" s="602" t="e">
        <f t="shared" si="18"/>
        <v>#DIV/0!</v>
      </c>
      <c r="AU22" s="602" t="e">
        <f t="shared" si="18"/>
        <v>#DIV/0!</v>
      </c>
      <c r="AV22" s="604" t="e">
        <f t="shared" si="18"/>
        <v>#DIV/0!</v>
      </c>
      <c r="AW22" s="602">
        <f t="shared" si="18"/>
        <v>0.12892248173090701</v>
      </c>
      <c r="AX22" s="602">
        <f t="shared" si="18"/>
        <v>9.4560383167978102E-2</v>
      </c>
      <c r="AY22" s="602">
        <f t="shared" si="18"/>
        <v>0.11004701977596458</v>
      </c>
      <c r="AZ22" s="602">
        <f t="shared" si="18"/>
        <v>9.0254471995047422E-2</v>
      </c>
      <c r="BA22" s="603">
        <f t="shared" si="18"/>
        <v>0.10548042582711693</v>
      </c>
      <c r="BB22" s="602">
        <f>BB19/BB5</f>
        <v>0.10791644725294014</v>
      </c>
      <c r="BC22" s="602">
        <f t="shared" ref="BC22:BE22" si="19">BC19/BC5</f>
        <v>7.974988647081431E-2</v>
      </c>
      <c r="BD22" s="602">
        <f t="shared" si="19"/>
        <v>8.3902114200099839E-2</v>
      </c>
      <c r="BE22" s="602">
        <f t="shared" si="19"/>
        <v>0.13244258358475466</v>
      </c>
      <c r="BF22" s="603">
        <f>BF19/BF5</f>
        <v>0.10180641817619475</v>
      </c>
      <c r="BG22" s="602">
        <f>BG19/BG5</f>
        <v>0.11230501439378725</v>
      </c>
      <c r="BH22" s="602">
        <f t="shared" ref="BH22:BJ22" si="20">BH19/BH5</f>
        <v>0.10586448080513972</v>
      </c>
      <c r="BI22" s="582" t="e">
        <f t="shared" si="20"/>
        <v>#DIV/0!</v>
      </c>
      <c r="BJ22" s="582" t="e">
        <f t="shared" si="20"/>
        <v>#DIV/0!</v>
      </c>
      <c r="BK22" s="653">
        <f>BK19/BK5</f>
        <v>0.10899448520440534</v>
      </c>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15"/>
      <c r="NI22" s="15"/>
      <c r="NJ22" s="15"/>
      <c r="NK22" s="15"/>
      <c r="NL22" s="15"/>
      <c r="NM22" s="15"/>
      <c r="NN22" s="15"/>
      <c r="NO22" s="15"/>
      <c r="NP22" s="15"/>
      <c r="NQ22" s="15"/>
      <c r="NR22" s="15"/>
      <c r="NS22" s="15"/>
      <c r="NT22" s="15"/>
      <c r="NU22" s="15"/>
      <c r="NV22" s="15"/>
      <c r="NW22" s="15"/>
      <c r="NX22" s="15"/>
      <c r="NY22" s="15"/>
      <c r="NZ22" s="15"/>
      <c r="OA22" s="15"/>
      <c r="OB22" s="15"/>
      <c r="OC22" s="15"/>
      <c r="OD22" s="15"/>
      <c r="OE22" s="15"/>
      <c r="OF22" s="15"/>
      <c r="OG22" s="15"/>
      <c r="OH22" s="15"/>
      <c r="OI22" s="15"/>
      <c r="OJ22" s="15"/>
      <c r="OK22" s="15"/>
      <c r="OL22" s="15"/>
      <c r="OM22" s="15"/>
      <c r="ON22" s="15"/>
      <c r="OO22" s="15"/>
      <c r="OP22" s="15"/>
      <c r="OQ22" s="15"/>
      <c r="OR22" s="15"/>
      <c r="OS22" s="15"/>
      <c r="OT22" s="15"/>
      <c r="OU22" s="15"/>
      <c r="OV22" s="15"/>
      <c r="OW22" s="15"/>
      <c r="OX22" s="15"/>
      <c r="OY22" s="15"/>
      <c r="OZ22" s="15"/>
      <c r="PA22" s="15"/>
      <c r="PB22" s="15"/>
      <c r="PC22" s="15"/>
      <c r="PD22" s="15"/>
      <c r="PE22" s="15"/>
      <c r="PF22" s="15"/>
      <c r="PG22" s="15"/>
      <c r="PH22" s="15"/>
      <c r="PI22" s="15"/>
      <c r="PJ22" s="15"/>
      <c r="PK22" s="15"/>
      <c r="PL22" s="15"/>
      <c r="PM22" s="15"/>
      <c r="PN22" s="15"/>
      <c r="PO22" s="15"/>
      <c r="PP22" s="15"/>
      <c r="PQ22" s="15"/>
      <c r="PR22" s="15"/>
      <c r="PS22" s="15"/>
      <c r="PT22" s="15"/>
      <c r="PU22" s="15"/>
      <c r="PV22" s="15"/>
      <c r="PW22" s="15"/>
      <c r="PX22" s="15"/>
      <c r="PY22" s="15"/>
      <c r="PZ22" s="15"/>
      <c r="QA22" s="15"/>
      <c r="QB22" s="15"/>
      <c r="QC22" s="15"/>
      <c r="QD22" s="15"/>
      <c r="QE22" s="15"/>
      <c r="QF22" s="15"/>
      <c r="QG22" s="15"/>
      <c r="QH22" s="15"/>
      <c r="QI22" s="15"/>
      <c r="QJ22" s="15"/>
      <c r="QK22" s="15"/>
      <c r="QL22" s="15"/>
      <c r="QM22" s="15"/>
      <c r="QN22" s="15"/>
      <c r="QO22" s="15"/>
      <c r="QP22" s="15"/>
      <c r="QQ22" s="15"/>
      <c r="QR22" s="15"/>
      <c r="QS22" s="15"/>
      <c r="QT22" s="15"/>
      <c r="QU22" s="15"/>
      <c r="QV22" s="15"/>
      <c r="QW22" s="15"/>
      <c r="QX22" s="15"/>
      <c r="QY22" s="15"/>
      <c r="QZ22" s="15"/>
      <c r="RA22" s="15"/>
      <c r="RB22" s="15"/>
      <c r="RC22" s="15"/>
      <c r="RD22" s="15"/>
      <c r="RE22" s="15"/>
      <c r="RF22" s="15"/>
      <c r="RG22" s="15"/>
      <c r="RH22" s="15"/>
      <c r="RI22" s="15"/>
      <c r="RJ22" s="15"/>
      <c r="RK22" s="15"/>
      <c r="RL22" s="15"/>
      <c r="RM22" s="15"/>
      <c r="RN22" s="15"/>
      <c r="RO22" s="15"/>
      <c r="RP22" s="15"/>
      <c r="RQ22" s="15"/>
      <c r="RR22" s="15"/>
      <c r="RS22" s="15"/>
      <c r="RT22" s="15"/>
      <c r="RU22" s="15"/>
      <c r="RV22" s="15"/>
      <c r="RW22" s="15"/>
      <c r="RX22" s="15"/>
      <c r="RY22" s="15"/>
    </row>
    <row r="23" spans="1:493" s="217" customFormat="1" ht="30" customHeight="1">
      <c r="A23" s="263"/>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264"/>
      <c r="AN23" s="264"/>
      <c r="AO23" s="264"/>
      <c r="AP23" s="264"/>
      <c r="AQ23" s="264"/>
      <c r="AR23" s="265"/>
      <c r="AS23" s="265"/>
      <c r="AT23" s="265"/>
      <c r="AU23" s="265"/>
      <c r="AV23" s="265"/>
      <c r="AW23" s="264"/>
      <c r="AX23" s="264"/>
      <c r="AY23" s="264"/>
      <c r="AZ23" s="264"/>
      <c r="BA23" s="220"/>
      <c r="BB23" s="220"/>
      <c r="BC23" s="220"/>
      <c r="BD23" s="220"/>
      <c r="BE23" s="220"/>
      <c r="BF23" s="220"/>
      <c r="BG23" s="220"/>
      <c r="BH23" s="220"/>
      <c r="BI23" s="220"/>
      <c r="BJ23" s="220"/>
      <c r="BK23" s="220"/>
      <c r="BL23" s="265"/>
      <c r="BM23" s="265"/>
      <c r="BN23" s="265"/>
      <c r="BO23" s="265"/>
      <c r="BP23" s="265"/>
      <c r="BQ23" s="265"/>
      <c r="BR23" s="265"/>
      <c r="BS23" s="261"/>
      <c r="BT23" s="261"/>
      <c r="BU23" s="261"/>
      <c r="BV23" s="261"/>
      <c r="BW23" s="261"/>
      <c r="BX23" s="261"/>
      <c r="BY23" s="261"/>
      <c r="BZ23" s="261"/>
      <c r="CA23" s="261"/>
      <c r="CB23" s="261"/>
      <c r="CC23" s="261"/>
      <c r="CD23" s="261"/>
      <c r="CE23" s="261"/>
      <c r="CF23" s="261"/>
      <c r="CG23" s="261"/>
      <c r="CH23" s="261"/>
      <c r="CI23" s="261"/>
      <c r="CJ23" s="261"/>
      <c r="CK23" s="261"/>
      <c r="CL23" s="261"/>
      <c r="CM23" s="261"/>
      <c r="CN23" s="261"/>
      <c r="CO23" s="26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c r="HD23" s="261"/>
      <c r="HE23" s="261"/>
      <c r="HF23" s="261"/>
      <c r="HG23" s="261"/>
      <c r="HH23" s="261"/>
      <c r="HI23" s="261"/>
      <c r="HJ23" s="261"/>
      <c r="HK23" s="261"/>
      <c r="HL23" s="261"/>
      <c r="HM23" s="261"/>
      <c r="HN23" s="261"/>
      <c r="HO23" s="261"/>
      <c r="HP23" s="261"/>
      <c r="HQ23" s="261"/>
      <c r="HR23" s="261"/>
      <c r="HS23" s="261"/>
      <c r="HT23" s="261"/>
      <c r="HU23" s="261"/>
      <c r="HV23" s="261"/>
      <c r="HW23" s="261"/>
      <c r="HX23" s="261"/>
      <c r="HY23" s="261"/>
      <c r="HZ23" s="261"/>
      <c r="IA23" s="261"/>
      <c r="IB23" s="261"/>
      <c r="IC23" s="261"/>
      <c r="ID23" s="261"/>
      <c r="IE23" s="261"/>
      <c r="IF23" s="261"/>
      <c r="IG23" s="261"/>
      <c r="IH23" s="261"/>
      <c r="II23" s="261"/>
      <c r="IJ23" s="261"/>
      <c r="IK23" s="261"/>
      <c r="IL23" s="261"/>
      <c r="IM23" s="261"/>
      <c r="IN23" s="261"/>
      <c r="IO23" s="261"/>
      <c r="IP23" s="261"/>
      <c r="IQ23" s="261"/>
      <c r="IR23" s="261"/>
      <c r="IS23" s="261"/>
      <c r="IT23" s="261"/>
      <c r="IU23" s="261"/>
      <c r="IV23" s="261"/>
      <c r="IW23" s="261"/>
      <c r="IX23" s="261"/>
      <c r="IY23" s="261"/>
      <c r="IZ23" s="261"/>
      <c r="JA23" s="261"/>
      <c r="JB23" s="261"/>
      <c r="JC23" s="261"/>
      <c r="JD23" s="261"/>
      <c r="JE23" s="261"/>
      <c r="JF23" s="261"/>
      <c r="JG23" s="261"/>
      <c r="JH23" s="261"/>
      <c r="JI23" s="261"/>
      <c r="JJ23" s="261"/>
      <c r="JK23" s="261"/>
      <c r="JL23" s="261"/>
      <c r="JM23" s="261"/>
      <c r="JN23" s="261"/>
      <c r="JO23" s="261"/>
      <c r="JP23" s="261"/>
      <c r="JQ23" s="261"/>
      <c r="JR23" s="261"/>
      <c r="JS23" s="261"/>
      <c r="JT23" s="261"/>
      <c r="JU23" s="261"/>
      <c r="JV23" s="261"/>
      <c r="JW23" s="261"/>
      <c r="JX23" s="261"/>
      <c r="JY23" s="261"/>
      <c r="JZ23" s="261"/>
      <c r="KA23" s="261"/>
      <c r="KB23" s="261"/>
      <c r="KC23" s="261"/>
      <c r="KD23" s="261"/>
      <c r="KE23" s="261"/>
      <c r="KF23" s="261"/>
      <c r="KG23" s="261"/>
      <c r="KH23" s="261"/>
      <c r="KI23" s="261"/>
      <c r="KJ23" s="261"/>
      <c r="KK23" s="261"/>
      <c r="KL23" s="261"/>
      <c r="KM23" s="261"/>
      <c r="KN23" s="261"/>
      <c r="KO23" s="261"/>
      <c r="KP23" s="261"/>
      <c r="KQ23" s="261"/>
      <c r="KR23" s="261"/>
      <c r="KS23" s="261"/>
      <c r="KT23" s="261"/>
      <c r="KU23" s="261"/>
      <c r="KV23" s="261"/>
      <c r="KW23" s="261"/>
      <c r="KX23" s="261"/>
      <c r="KY23" s="261"/>
      <c r="KZ23" s="261"/>
      <c r="LA23" s="261"/>
      <c r="LB23" s="261"/>
      <c r="LC23" s="261"/>
      <c r="LD23" s="261"/>
      <c r="LE23" s="261"/>
      <c r="LF23" s="261"/>
      <c r="LG23" s="261"/>
      <c r="LH23" s="261"/>
      <c r="LI23" s="261"/>
      <c r="LJ23" s="261"/>
      <c r="LK23" s="261"/>
      <c r="LL23" s="261"/>
      <c r="LM23" s="261"/>
      <c r="LN23" s="261"/>
      <c r="LO23" s="261"/>
      <c r="LP23" s="261"/>
      <c r="LQ23" s="261"/>
      <c r="LR23" s="261"/>
      <c r="LS23" s="261"/>
      <c r="LT23" s="261"/>
      <c r="LU23" s="261"/>
      <c r="LV23" s="261"/>
      <c r="LW23" s="261"/>
      <c r="LX23" s="261"/>
      <c r="LY23" s="261"/>
      <c r="LZ23" s="261"/>
      <c r="MA23" s="261"/>
      <c r="MB23" s="261"/>
      <c r="MC23" s="261"/>
      <c r="MD23" s="261"/>
      <c r="ME23" s="261"/>
      <c r="MF23" s="261"/>
      <c r="MG23" s="261"/>
      <c r="MH23" s="261"/>
      <c r="MI23" s="261"/>
      <c r="MJ23" s="261"/>
      <c r="MK23" s="261"/>
      <c r="ML23" s="261"/>
      <c r="MM23" s="261"/>
      <c r="MN23" s="261"/>
      <c r="MO23" s="261"/>
      <c r="MP23" s="261"/>
      <c r="MQ23" s="261"/>
      <c r="MR23" s="261"/>
      <c r="MS23" s="261"/>
      <c r="MT23" s="261"/>
      <c r="MU23" s="261"/>
      <c r="MV23" s="261"/>
      <c r="MW23" s="261"/>
      <c r="MX23" s="261"/>
      <c r="MY23" s="261"/>
      <c r="MZ23" s="261"/>
      <c r="NA23" s="261"/>
      <c r="NB23" s="261"/>
      <c r="NC23" s="261"/>
      <c r="ND23" s="261"/>
      <c r="NE23" s="261"/>
      <c r="NF23" s="261"/>
      <c r="NG23" s="261"/>
      <c r="NH23" s="261"/>
      <c r="NI23" s="261"/>
      <c r="NJ23" s="261"/>
      <c r="NK23" s="261"/>
      <c r="NL23" s="261"/>
      <c r="NM23" s="261"/>
      <c r="NN23" s="261"/>
      <c r="NO23" s="261"/>
      <c r="NP23" s="261"/>
      <c r="NQ23" s="261"/>
      <c r="NR23" s="261"/>
      <c r="NS23" s="261"/>
      <c r="NT23" s="261"/>
      <c r="NU23" s="261"/>
      <c r="NV23" s="261"/>
      <c r="NW23" s="261"/>
      <c r="NX23" s="261"/>
      <c r="NY23" s="261"/>
      <c r="NZ23" s="261"/>
      <c r="OA23" s="261"/>
      <c r="OB23" s="261"/>
      <c r="OC23" s="261"/>
      <c r="OD23" s="261"/>
      <c r="OE23" s="261"/>
      <c r="OF23" s="261"/>
      <c r="OG23" s="261"/>
      <c r="OH23" s="261"/>
      <c r="OI23" s="261"/>
      <c r="OJ23" s="261"/>
      <c r="OK23" s="261"/>
      <c r="OL23" s="261"/>
      <c r="OM23" s="261"/>
      <c r="ON23" s="261"/>
      <c r="OO23" s="261"/>
      <c r="OP23" s="261"/>
      <c r="OQ23" s="261"/>
      <c r="OR23" s="261"/>
      <c r="OS23" s="261"/>
      <c r="OT23" s="261"/>
      <c r="OU23" s="261"/>
      <c r="OV23" s="261"/>
      <c r="OW23" s="261"/>
      <c r="OX23" s="261"/>
      <c r="OY23" s="261"/>
      <c r="OZ23" s="261"/>
      <c r="PA23" s="261"/>
      <c r="PB23" s="261"/>
      <c r="PC23" s="261"/>
      <c r="PD23" s="261"/>
      <c r="PE23" s="261"/>
      <c r="PF23" s="261"/>
      <c r="PG23" s="261"/>
      <c r="PH23" s="261"/>
      <c r="PI23" s="261"/>
      <c r="PJ23" s="261"/>
      <c r="PK23" s="261"/>
      <c r="PL23" s="261"/>
      <c r="PM23" s="261"/>
      <c r="PN23" s="261"/>
      <c r="PO23" s="261"/>
      <c r="PP23" s="261"/>
      <c r="PQ23" s="261"/>
      <c r="PR23" s="261"/>
      <c r="PS23" s="261"/>
      <c r="PT23" s="261"/>
      <c r="PU23" s="261"/>
      <c r="PV23" s="261"/>
      <c r="PW23" s="261"/>
      <c r="PX23" s="261"/>
      <c r="PY23" s="261"/>
      <c r="PZ23" s="261"/>
      <c r="QA23" s="261"/>
      <c r="QB23" s="261"/>
      <c r="QC23" s="261"/>
      <c r="QD23" s="261"/>
      <c r="QE23" s="261"/>
      <c r="QF23" s="261"/>
      <c r="QG23" s="261"/>
      <c r="QH23" s="261"/>
      <c r="QI23" s="261"/>
      <c r="QJ23" s="261"/>
      <c r="QK23" s="261"/>
      <c r="QL23" s="261"/>
      <c r="QM23" s="261"/>
      <c r="QN23" s="261"/>
      <c r="QO23" s="261"/>
      <c r="QP23" s="261"/>
      <c r="QQ23" s="261"/>
      <c r="QR23" s="261"/>
      <c r="QS23" s="261"/>
      <c r="QT23" s="261"/>
      <c r="QU23" s="261"/>
      <c r="QV23" s="261"/>
      <c r="QW23" s="261"/>
      <c r="QX23" s="261"/>
      <c r="QY23" s="261"/>
      <c r="QZ23" s="261"/>
      <c r="RA23" s="261"/>
      <c r="RB23" s="261"/>
      <c r="RC23" s="261"/>
      <c r="RD23" s="261"/>
      <c r="RE23" s="261"/>
      <c r="RF23" s="261"/>
      <c r="RG23" s="261"/>
      <c r="RH23" s="261"/>
      <c r="RI23" s="261"/>
      <c r="RJ23" s="261"/>
      <c r="RK23" s="261"/>
      <c r="RL23" s="261"/>
      <c r="RM23" s="261"/>
      <c r="RN23" s="261"/>
      <c r="RO23" s="261"/>
      <c r="RP23" s="261"/>
      <c r="RQ23" s="261"/>
      <c r="RR23" s="261"/>
      <c r="RS23" s="261"/>
      <c r="RT23" s="261"/>
      <c r="RU23" s="261"/>
      <c r="RV23" s="261"/>
      <c r="RW23" s="261"/>
      <c r="RX23" s="261"/>
      <c r="RY23" s="261"/>
    </row>
    <row r="24" spans="1:493" s="219" customFormat="1" ht="28.5" customHeight="1">
      <c r="A24" s="137" t="s">
        <v>105</v>
      </c>
      <c r="B24" s="137" t="s">
        <v>106</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266"/>
      <c r="AN24" s="266"/>
      <c r="AO24" s="266"/>
      <c r="AP24" s="266"/>
      <c r="AQ24" s="267"/>
      <c r="AR24" s="268"/>
      <c r="AS24" s="268"/>
      <c r="AT24" s="268"/>
      <c r="AU24" s="268"/>
      <c r="AV24" s="268"/>
      <c r="AW24" s="266"/>
      <c r="AX24" s="266"/>
      <c r="AY24" s="266"/>
      <c r="AZ24" s="266"/>
      <c r="BA24" s="221"/>
      <c r="BB24" s="268"/>
      <c r="BC24" s="268"/>
      <c r="BD24" s="268"/>
      <c r="BE24" s="222"/>
      <c r="BF24" s="267"/>
      <c r="BG24" s="268"/>
      <c r="BH24" s="268"/>
      <c r="BI24" s="268"/>
      <c r="BJ24" s="222"/>
      <c r="BK24" s="267"/>
      <c r="BL24" s="265"/>
      <c r="BM24" s="268"/>
      <c r="BN24" s="268"/>
      <c r="BO24" s="268"/>
      <c r="BP24" s="268"/>
      <c r="BQ24" s="268"/>
      <c r="BR24" s="268"/>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c r="CZ24" s="262"/>
      <c r="DA24" s="262"/>
      <c r="DB24" s="262"/>
      <c r="DC24" s="262"/>
      <c r="DD24" s="262"/>
      <c r="DE24" s="262"/>
      <c r="DF24" s="262"/>
      <c r="DG24" s="262"/>
      <c r="DH24" s="262"/>
      <c r="DI24" s="262"/>
      <c r="DJ24" s="262"/>
      <c r="DK24" s="262"/>
      <c r="DL24" s="262"/>
      <c r="DM24" s="262"/>
      <c r="DN24" s="262"/>
      <c r="DO24" s="262"/>
      <c r="DP24" s="262"/>
      <c r="DQ24" s="262"/>
      <c r="DR24" s="262"/>
      <c r="DS24" s="262"/>
      <c r="DT24" s="262"/>
      <c r="DU24" s="262"/>
      <c r="DV24" s="262"/>
      <c r="DW24" s="262"/>
      <c r="DX24" s="262"/>
      <c r="DY24" s="262"/>
      <c r="DZ24" s="262"/>
      <c r="EA24" s="262"/>
      <c r="EB24" s="262"/>
      <c r="EC24" s="262"/>
      <c r="ED24" s="262"/>
      <c r="EE24" s="262"/>
      <c r="EF24" s="262"/>
      <c r="EG24" s="262"/>
      <c r="EH24" s="262"/>
      <c r="EI24" s="262"/>
      <c r="EJ24" s="262"/>
      <c r="EK24" s="262"/>
      <c r="EL24" s="262"/>
      <c r="EM24" s="262"/>
      <c r="EN24" s="262"/>
      <c r="EO24" s="262"/>
      <c r="EP24" s="262"/>
      <c r="EQ24" s="262"/>
      <c r="ER24" s="262"/>
      <c r="ES24" s="262"/>
      <c r="ET24" s="262"/>
      <c r="EU24" s="262"/>
      <c r="EV24" s="262"/>
      <c r="EW24" s="262"/>
      <c r="EX24" s="262"/>
      <c r="EY24" s="262"/>
      <c r="EZ24" s="262"/>
      <c r="FA24" s="262"/>
      <c r="FB24" s="262"/>
      <c r="FC24" s="262"/>
      <c r="FD24" s="262"/>
      <c r="FE24" s="262"/>
      <c r="FF24" s="262"/>
      <c r="FG24" s="262"/>
      <c r="FH24" s="262"/>
      <c r="FI24" s="262"/>
      <c r="FJ24" s="262"/>
      <c r="FK24" s="262"/>
      <c r="FL24" s="262"/>
      <c r="FM24" s="262"/>
      <c r="FN24" s="262"/>
      <c r="FO24" s="262"/>
      <c r="FP24" s="262"/>
      <c r="FQ24" s="262"/>
      <c r="FR24" s="262"/>
      <c r="FS24" s="262"/>
      <c r="FT24" s="262"/>
      <c r="FU24" s="262"/>
      <c r="FV24" s="262"/>
      <c r="FW24" s="262"/>
      <c r="FX24" s="262"/>
      <c r="FY24" s="262"/>
      <c r="FZ24" s="262"/>
      <c r="GA24" s="262"/>
      <c r="GB24" s="262"/>
      <c r="GC24" s="262"/>
      <c r="GD24" s="262"/>
      <c r="GE24" s="262"/>
      <c r="GF24" s="262"/>
      <c r="GG24" s="262"/>
      <c r="GH24" s="262"/>
      <c r="GI24" s="262"/>
      <c r="GJ24" s="262"/>
      <c r="GK24" s="262"/>
      <c r="GL24" s="262"/>
      <c r="GM24" s="262"/>
      <c r="GN24" s="262"/>
      <c r="GO24" s="262"/>
      <c r="GP24" s="262"/>
      <c r="GQ24" s="262"/>
      <c r="GR24" s="262"/>
      <c r="GS24" s="262"/>
      <c r="GT24" s="262"/>
      <c r="GU24" s="262"/>
      <c r="GV24" s="262"/>
      <c r="GW24" s="262"/>
      <c r="GX24" s="262"/>
      <c r="GY24" s="262"/>
      <c r="GZ24" s="262"/>
      <c r="HA24" s="262"/>
      <c r="HB24" s="262"/>
      <c r="HC24" s="262"/>
      <c r="HD24" s="262"/>
      <c r="HE24" s="262"/>
      <c r="HF24" s="262"/>
      <c r="HG24" s="262"/>
      <c r="HH24" s="262"/>
      <c r="HI24" s="262"/>
      <c r="HJ24" s="262"/>
      <c r="HK24" s="262"/>
      <c r="HL24" s="262"/>
      <c r="HM24" s="262"/>
      <c r="HN24" s="262"/>
      <c r="HO24" s="262"/>
      <c r="HP24" s="262"/>
      <c r="HQ24" s="262"/>
      <c r="HR24" s="262"/>
      <c r="HS24" s="262"/>
      <c r="HT24" s="262"/>
      <c r="HU24" s="262"/>
      <c r="HV24" s="262"/>
      <c r="HW24" s="262"/>
      <c r="HX24" s="262"/>
      <c r="HY24" s="262"/>
      <c r="HZ24" s="262"/>
      <c r="IA24" s="262"/>
      <c r="IB24" s="262"/>
      <c r="IC24" s="262"/>
      <c r="ID24" s="262"/>
      <c r="IE24" s="262"/>
      <c r="IF24" s="262"/>
      <c r="IG24" s="262"/>
      <c r="IH24" s="262"/>
      <c r="II24" s="262"/>
      <c r="IJ24" s="262"/>
      <c r="IK24" s="262"/>
      <c r="IL24" s="262"/>
      <c r="IM24" s="262"/>
      <c r="IN24" s="262"/>
      <c r="IO24" s="262"/>
      <c r="IP24" s="262"/>
      <c r="IQ24" s="262"/>
      <c r="IR24" s="262"/>
      <c r="IS24" s="262"/>
      <c r="IT24" s="262"/>
      <c r="IU24" s="262"/>
      <c r="IV24" s="262"/>
      <c r="IW24" s="262"/>
      <c r="IX24" s="262"/>
      <c r="IY24" s="262"/>
      <c r="IZ24" s="262"/>
      <c r="JA24" s="262"/>
      <c r="JB24" s="262"/>
      <c r="JC24" s="262"/>
      <c r="JD24" s="262"/>
      <c r="JE24" s="262"/>
      <c r="JF24" s="262"/>
      <c r="JG24" s="262"/>
      <c r="JH24" s="262"/>
      <c r="JI24" s="262"/>
      <c r="JJ24" s="262"/>
      <c r="JK24" s="262"/>
      <c r="JL24" s="262"/>
      <c r="JM24" s="262"/>
      <c r="JN24" s="262"/>
      <c r="JO24" s="262"/>
      <c r="JP24" s="262"/>
      <c r="JQ24" s="262"/>
      <c r="JR24" s="262"/>
      <c r="JS24" s="262"/>
      <c r="JT24" s="262"/>
      <c r="JU24" s="262"/>
      <c r="JV24" s="262"/>
      <c r="JW24" s="262"/>
      <c r="JX24" s="262"/>
      <c r="JY24" s="262"/>
      <c r="JZ24" s="262"/>
      <c r="KA24" s="262"/>
      <c r="KB24" s="262"/>
      <c r="KC24" s="262"/>
      <c r="KD24" s="262"/>
      <c r="KE24" s="262"/>
      <c r="KF24" s="262"/>
      <c r="KG24" s="262"/>
      <c r="KH24" s="262"/>
      <c r="KI24" s="262"/>
      <c r="KJ24" s="262"/>
      <c r="KK24" s="262"/>
      <c r="KL24" s="262"/>
      <c r="KM24" s="262"/>
      <c r="KN24" s="262"/>
      <c r="KO24" s="262"/>
      <c r="KP24" s="262"/>
      <c r="KQ24" s="262"/>
      <c r="KR24" s="262"/>
      <c r="KS24" s="262"/>
      <c r="KT24" s="262"/>
      <c r="KU24" s="262"/>
      <c r="KV24" s="262"/>
      <c r="KW24" s="262"/>
      <c r="KX24" s="262"/>
      <c r="KY24" s="262"/>
      <c r="KZ24" s="262"/>
      <c r="LA24" s="262"/>
      <c r="LB24" s="262"/>
      <c r="LC24" s="262"/>
      <c r="LD24" s="262"/>
      <c r="LE24" s="262"/>
      <c r="LF24" s="262"/>
      <c r="LG24" s="262"/>
      <c r="LH24" s="262"/>
      <c r="LI24" s="262"/>
      <c r="LJ24" s="262"/>
      <c r="LK24" s="262"/>
      <c r="LL24" s="262"/>
      <c r="LM24" s="262"/>
      <c r="LN24" s="262"/>
      <c r="LO24" s="262"/>
      <c r="LP24" s="262"/>
      <c r="LQ24" s="262"/>
      <c r="LR24" s="262"/>
      <c r="LS24" s="262"/>
      <c r="LT24" s="262"/>
      <c r="LU24" s="262"/>
      <c r="LV24" s="262"/>
      <c r="LW24" s="262"/>
      <c r="LX24" s="262"/>
      <c r="LY24" s="262"/>
      <c r="LZ24" s="262"/>
      <c r="MA24" s="262"/>
      <c r="MB24" s="262"/>
      <c r="MC24" s="262"/>
      <c r="MD24" s="262"/>
      <c r="ME24" s="262"/>
      <c r="MF24" s="262"/>
      <c r="MG24" s="262"/>
      <c r="MH24" s="262"/>
      <c r="MI24" s="262"/>
      <c r="MJ24" s="262"/>
      <c r="MK24" s="262"/>
      <c r="ML24" s="262"/>
      <c r="MM24" s="262"/>
      <c r="MN24" s="262"/>
      <c r="MO24" s="262"/>
      <c r="MP24" s="262"/>
      <c r="MQ24" s="262"/>
      <c r="MR24" s="262"/>
      <c r="MS24" s="262"/>
      <c r="MT24" s="262"/>
      <c r="MU24" s="262"/>
      <c r="MV24" s="262"/>
      <c r="MW24" s="262"/>
      <c r="MX24" s="262"/>
      <c r="MY24" s="262"/>
      <c r="MZ24" s="262"/>
      <c r="NA24" s="262"/>
      <c r="NB24" s="262"/>
      <c r="NC24" s="262"/>
      <c r="ND24" s="262"/>
      <c r="NE24" s="262"/>
      <c r="NF24" s="262"/>
      <c r="NG24" s="262"/>
      <c r="NH24" s="262"/>
      <c r="NI24" s="262"/>
      <c r="NJ24" s="262"/>
      <c r="NK24" s="262"/>
      <c r="NL24" s="262"/>
      <c r="NM24" s="262"/>
      <c r="NN24" s="262"/>
      <c r="NO24" s="262"/>
      <c r="NP24" s="262"/>
      <c r="NQ24" s="262"/>
      <c r="NR24" s="262"/>
      <c r="NS24" s="262"/>
      <c r="NT24" s="262"/>
      <c r="NU24" s="262"/>
      <c r="NV24" s="262"/>
      <c r="NW24" s="262"/>
      <c r="NX24" s="262"/>
      <c r="NY24" s="262"/>
      <c r="NZ24" s="262"/>
      <c r="OA24" s="262"/>
      <c r="OB24" s="262"/>
      <c r="OC24" s="262"/>
      <c r="OD24" s="262"/>
      <c r="OE24" s="262"/>
      <c r="OF24" s="262"/>
      <c r="OG24" s="262"/>
      <c r="OH24" s="262"/>
      <c r="OI24" s="262"/>
      <c r="OJ24" s="262"/>
      <c r="OK24" s="262"/>
      <c r="OL24" s="262"/>
      <c r="OM24" s="262"/>
      <c r="ON24" s="262"/>
      <c r="OO24" s="262"/>
      <c r="OP24" s="262"/>
      <c r="OQ24" s="262"/>
      <c r="OR24" s="262"/>
      <c r="OS24" s="262"/>
      <c r="OT24" s="262"/>
      <c r="OU24" s="262"/>
      <c r="OV24" s="262"/>
      <c r="OW24" s="262"/>
      <c r="OX24" s="262"/>
      <c r="OY24" s="262"/>
      <c r="OZ24" s="262"/>
      <c r="PA24" s="262"/>
      <c r="PB24" s="262"/>
      <c r="PC24" s="262"/>
      <c r="PD24" s="262"/>
      <c r="PE24" s="262"/>
      <c r="PF24" s="262"/>
      <c r="PG24" s="262"/>
      <c r="PH24" s="262"/>
      <c r="PI24" s="262"/>
      <c r="PJ24" s="262"/>
      <c r="PK24" s="262"/>
      <c r="PL24" s="262"/>
      <c r="PM24" s="262"/>
      <c r="PN24" s="262"/>
      <c r="PO24" s="262"/>
      <c r="PP24" s="262"/>
      <c r="PQ24" s="262"/>
      <c r="PR24" s="262"/>
      <c r="PS24" s="262"/>
      <c r="PT24" s="262"/>
      <c r="PU24" s="262"/>
      <c r="PV24" s="262"/>
      <c r="PW24" s="262"/>
      <c r="PX24" s="262"/>
      <c r="PY24" s="262"/>
      <c r="PZ24" s="262"/>
      <c r="QA24" s="262"/>
      <c r="QB24" s="262"/>
      <c r="QC24" s="262"/>
      <c r="QD24" s="262"/>
      <c r="QE24" s="262"/>
      <c r="QF24" s="262"/>
      <c r="QG24" s="262"/>
      <c r="QH24" s="262"/>
      <c r="QI24" s="262"/>
      <c r="QJ24" s="262"/>
      <c r="QK24" s="262"/>
      <c r="QL24" s="262"/>
      <c r="QM24" s="262"/>
      <c r="QN24" s="262"/>
      <c r="QO24" s="262"/>
      <c r="QP24" s="262"/>
      <c r="QQ24" s="262"/>
      <c r="QR24" s="262"/>
      <c r="QS24" s="262"/>
      <c r="QT24" s="262"/>
      <c r="QU24" s="262"/>
      <c r="QV24" s="262"/>
      <c r="QW24" s="262"/>
      <c r="QX24" s="262"/>
      <c r="QY24" s="262"/>
      <c r="QZ24" s="262"/>
      <c r="RA24" s="262"/>
      <c r="RB24" s="262"/>
      <c r="RC24" s="262"/>
      <c r="RD24" s="262"/>
      <c r="RE24" s="262"/>
      <c r="RF24" s="262"/>
      <c r="RG24" s="262"/>
      <c r="RH24" s="262"/>
      <c r="RI24" s="262"/>
      <c r="RJ24" s="262"/>
      <c r="RK24" s="262"/>
      <c r="RL24" s="262"/>
      <c r="RM24" s="262"/>
      <c r="RN24" s="262"/>
      <c r="RO24" s="262"/>
      <c r="RP24" s="262"/>
      <c r="RQ24" s="262"/>
      <c r="RR24" s="262"/>
      <c r="RS24" s="262"/>
      <c r="RT24" s="262"/>
      <c r="RU24" s="262"/>
      <c r="RV24" s="262"/>
      <c r="RW24" s="262"/>
      <c r="RX24" s="262"/>
      <c r="RY24" s="262"/>
    </row>
    <row r="25" spans="1:493" s="217" customFormat="1" ht="60">
      <c r="A25" s="237" t="s">
        <v>107</v>
      </c>
      <c r="B25" s="249" t="s">
        <v>108</v>
      </c>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269"/>
      <c r="AN25" s="269"/>
      <c r="AO25" s="269"/>
      <c r="AP25" s="269"/>
      <c r="AQ25" s="265"/>
      <c r="AR25" s="269"/>
      <c r="AS25" s="269"/>
      <c r="AT25" s="269"/>
      <c r="AU25" s="269"/>
      <c r="AV25" s="269"/>
      <c r="AW25" s="269"/>
      <c r="AX25" s="269"/>
      <c r="AY25" s="269"/>
      <c r="AZ25" s="269"/>
      <c r="BA25" s="269"/>
      <c r="BB25" s="269"/>
      <c r="BC25" s="269"/>
      <c r="BD25" s="269"/>
      <c r="BE25" s="223"/>
      <c r="BF25" s="265"/>
      <c r="BG25" s="269"/>
      <c r="BH25" s="269"/>
      <c r="BI25" s="269"/>
      <c r="BJ25" s="223"/>
      <c r="BK25" s="265"/>
      <c r="BL25" s="265"/>
      <c r="BM25" s="265"/>
      <c r="BN25" s="265"/>
      <c r="BO25" s="265"/>
      <c r="BP25" s="265"/>
      <c r="BQ25" s="265"/>
      <c r="BR25" s="265"/>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261"/>
      <c r="IW25" s="261"/>
      <c r="IX25" s="261"/>
      <c r="IY25" s="261"/>
      <c r="IZ25" s="261"/>
      <c r="JA25" s="261"/>
      <c r="JB25" s="261"/>
      <c r="JC25" s="261"/>
      <c r="JD25" s="261"/>
      <c r="JE25" s="261"/>
      <c r="JF25" s="261"/>
      <c r="JG25" s="261"/>
      <c r="JH25" s="261"/>
      <c r="JI25" s="261"/>
      <c r="JJ25" s="261"/>
      <c r="JK25" s="261"/>
      <c r="JL25" s="261"/>
      <c r="JM25" s="261"/>
      <c r="JN25" s="261"/>
      <c r="JO25" s="261"/>
      <c r="JP25" s="261"/>
      <c r="JQ25" s="261"/>
      <c r="JR25" s="261"/>
      <c r="JS25" s="261"/>
      <c r="JT25" s="261"/>
      <c r="JU25" s="261"/>
      <c r="JV25" s="261"/>
      <c r="JW25" s="261"/>
      <c r="JX25" s="261"/>
      <c r="JY25" s="261"/>
      <c r="JZ25" s="261"/>
      <c r="KA25" s="261"/>
      <c r="KB25" s="261"/>
      <c r="KC25" s="261"/>
      <c r="KD25" s="261"/>
      <c r="KE25" s="261"/>
      <c r="KF25" s="261"/>
      <c r="KG25" s="261"/>
      <c r="KH25" s="261"/>
      <c r="KI25" s="261"/>
      <c r="KJ25" s="261"/>
      <c r="KK25" s="261"/>
      <c r="KL25" s="261"/>
      <c r="KM25" s="261"/>
      <c r="KN25" s="261"/>
      <c r="KO25" s="261"/>
      <c r="KP25" s="261"/>
      <c r="KQ25" s="261"/>
      <c r="KR25" s="261"/>
      <c r="KS25" s="261"/>
      <c r="KT25" s="261"/>
      <c r="KU25" s="261"/>
      <c r="KV25" s="261"/>
      <c r="KW25" s="261"/>
      <c r="KX25" s="261"/>
      <c r="KY25" s="261"/>
      <c r="KZ25" s="261"/>
      <c r="LA25" s="261"/>
      <c r="LB25" s="261"/>
      <c r="LC25" s="261"/>
      <c r="LD25" s="261"/>
      <c r="LE25" s="261"/>
      <c r="LF25" s="261"/>
      <c r="LG25" s="261"/>
      <c r="LH25" s="261"/>
      <c r="LI25" s="261"/>
      <c r="LJ25" s="261"/>
      <c r="LK25" s="261"/>
      <c r="LL25" s="261"/>
      <c r="LM25" s="261"/>
      <c r="LN25" s="261"/>
      <c r="LO25" s="261"/>
      <c r="LP25" s="261"/>
      <c r="LQ25" s="261"/>
      <c r="LR25" s="261"/>
      <c r="LS25" s="261"/>
      <c r="LT25" s="261"/>
      <c r="LU25" s="261"/>
      <c r="LV25" s="261"/>
      <c r="LW25" s="261"/>
      <c r="LX25" s="261"/>
      <c r="LY25" s="261"/>
      <c r="LZ25" s="261"/>
      <c r="MA25" s="261"/>
      <c r="MB25" s="261"/>
      <c r="MC25" s="261"/>
      <c r="MD25" s="261"/>
      <c r="ME25" s="261"/>
      <c r="MF25" s="261"/>
      <c r="MG25" s="261"/>
      <c r="MH25" s="261"/>
      <c r="MI25" s="261"/>
      <c r="MJ25" s="261"/>
      <c r="MK25" s="261"/>
      <c r="ML25" s="261"/>
      <c r="MM25" s="261"/>
      <c r="MN25" s="261"/>
      <c r="MO25" s="261"/>
      <c r="MP25" s="261"/>
      <c r="MQ25" s="261"/>
      <c r="MR25" s="261"/>
      <c r="MS25" s="261"/>
      <c r="MT25" s="261"/>
      <c r="MU25" s="261"/>
      <c r="MV25" s="261"/>
      <c r="MW25" s="261"/>
      <c r="MX25" s="261"/>
      <c r="MY25" s="261"/>
      <c r="MZ25" s="261"/>
      <c r="NA25" s="261"/>
      <c r="NB25" s="261"/>
      <c r="NC25" s="261"/>
      <c r="ND25" s="261"/>
      <c r="NE25" s="261"/>
      <c r="NF25" s="261"/>
      <c r="NG25" s="261"/>
      <c r="NH25" s="261"/>
      <c r="NI25" s="261"/>
      <c r="NJ25" s="261"/>
      <c r="NK25" s="261"/>
      <c r="NL25" s="261"/>
      <c r="NM25" s="261"/>
      <c r="NN25" s="261"/>
      <c r="NO25" s="261"/>
      <c r="NP25" s="261"/>
      <c r="NQ25" s="261"/>
      <c r="NR25" s="261"/>
      <c r="NS25" s="261"/>
      <c r="NT25" s="261"/>
      <c r="NU25" s="261"/>
      <c r="NV25" s="261"/>
      <c r="NW25" s="261"/>
      <c r="NX25" s="261"/>
      <c r="NY25" s="261"/>
      <c r="NZ25" s="261"/>
      <c r="OA25" s="261"/>
      <c r="OB25" s="261"/>
      <c r="OC25" s="261"/>
      <c r="OD25" s="261"/>
      <c r="OE25" s="261"/>
      <c r="OF25" s="261"/>
      <c r="OG25" s="261"/>
      <c r="OH25" s="261"/>
      <c r="OI25" s="261"/>
      <c r="OJ25" s="261"/>
      <c r="OK25" s="261"/>
      <c r="OL25" s="261"/>
      <c r="OM25" s="261"/>
      <c r="ON25" s="261"/>
      <c r="OO25" s="261"/>
      <c r="OP25" s="261"/>
      <c r="OQ25" s="261"/>
      <c r="OR25" s="261"/>
      <c r="OS25" s="261"/>
      <c r="OT25" s="261"/>
      <c r="OU25" s="261"/>
      <c r="OV25" s="261"/>
      <c r="OW25" s="261"/>
      <c r="OX25" s="261"/>
      <c r="OY25" s="261"/>
      <c r="OZ25" s="261"/>
      <c r="PA25" s="261"/>
      <c r="PB25" s="261"/>
      <c r="PC25" s="261"/>
      <c r="PD25" s="261"/>
      <c r="PE25" s="261"/>
      <c r="PF25" s="261"/>
      <c r="PG25" s="261"/>
      <c r="PH25" s="261"/>
      <c r="PI25" s="261"/>
      <c r="PJ25" s="261"/>
      <c r="PK25" s="261"/>
      <c r="PL25" s="261"/>
      <c r="PM25" s="261"/>
      <c r="PN25" s="261"/>
      <c r="PO25" s="261"/>
      <c r="PP25" s="261"/>
      <c r="PQ25" s="261"/>
      <c r="PR25" s="261"/>
      <c r="PS25" s="261"/>
      <c r="PT25" s="261"/>
      <c r="PU25" s="261"/>
      <c r="PV25" s="261"/>
      <c r="PW25" s="261"/>
      <c r="PX25" s="261"/>
      <c r="PY25" s="261"/>
      <c r="PZ25" s="261"/>
      <c r="QA25" s="261"/>
      <c r="QB25" s="261"/>
      <c r="QC25" s="261"/>
      <c r="QD25" s="261"/>
      <c r="QE25" s="261"/>
      <c r="QF25" s="261"/>
      <c r="QG25" s="261"/>
      <c r="QH25" s="261"/>
      <c r="QI25" s="261"/>
      <c r="QJ25" s="261"/>
      <c r="QK25" s="261"/>
      <c r="QL25" s="261"/>
      <c r="QM25" s="261"/>
      <c r="QN25" s="261"/>
      <c r="QO25" s="261"/>
      <c r="QP25" s="261"/>
      <c r="QQ25" s="261"/>
      <c r="QR25" s="261"/>
      <c r="QS25" s="261"/>
      <c r="QT25" s="261"/>
      <c r="QU25" s="261"/>
      <c r="QV25" s="261"/>
      <c r="QW25" s="261"/>
      <c r="QX25" s="261"/>
      <c r="QY25" s="261"/>
      <c r="QZ25" s="261"/>
      <c r="RA25" s="261"/>
      <c r="RB25" s="261"/>
      <c r="RC25" s="261"/>
      <c r="RD25" s="261"/>
      <c r="RE25" s="261"/>
      <c r="RF25" s="261"/>
      <c r="RG25" s="261"/>
      <c r="RH25" s="261"/>
      <c r="RI25" s="261"/>
      <c r="RJ25" s="261"/>
      <c r="RK25" s="261"/>
      <c r="RL25" s="261"/>
      <c r="RM25" s="261"/>
      <c r="RN25" s="261"/>
      <c r="RO25" s="261"/>
      <c r="RP25" s="261"/>
      <c r="RQ25" s="261"/>
      <c r="RR25" s="261"/>
      <c r="RS25" s="261"/>
      <c r="RT25" s="261"/>
      <c r="RU25" s="261"/>
      <c r="RV25" s="261"/>
      <c r="RW25" s="261"/>
      <c r="RX25" s="261"/>
      <c r="RY25" s="261"/>
    </row>
    <row r="26" spans="1:493" s="217" customForma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265"/>
      <c r="AN26" s="265"/>
      <c r="AO26" s="265"/>
      <c r="AP26" s="265"/>
      <c r="AQ26" s="265"/>
      <c r="AR26" s="265"/>
      <c r="AS26" s="265"/>
      <c r="AT26" s="265"/>
      <c r="AU26" s="265"/>
      <c r="AV26" s="265"/>
      <c r="AW26" s="265"/>
      <c r="AX26" s="265"/>
      <c r="AY26" s="265"/>
      <c r="AZ26" s="265"/>
      <c r="BA26" s="265"/>
      <c r="BB26" s="265"/>
      <c r="BC26" s="269"/>
      <c r="BD26" s="269"/>
      <c r="BE26" s="223"/>
      <c r="BF26" s="265"/>
      <c r="BG26" s="265"/>
      <c r="BH26" s="269"/>
      <c r="BI26" s="269"/>
      <c r="BJ26" s="223"/>
      <c r="BK26" s="265"/>
      <c r="BL26" s="265"/>
      <c r="BM26" s="265"/>
      <c r="BN26" s="265"/>
      <c r="BO26" s="265"/>
      <c r="BP26" s="265"/>
      <c r="BQ26" s="265"/>
      <c r="BR26" s="265"/>
      <c r="BS26" s="261"/>
      <c r="BT26" s="261"/>
      <c r="BU26" s="261"/>
      <c r="BV26" s="261"/>
      <c r="BW26" s="261"/>
      <c r="BX26" s="261"/>
      <c r="BY26" s="261"/>
      <c r="BZ26" s="261"/>
      <c r="CA26" s="261"/>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261"/>
      <c r="IW26" s="261"/>
      <c r="IX26" s="261"/>
      <c r="IY26" s="261"/>
      <c r="IZ26" s="261"/>
      <c r="JA26" s="261"/>
      <c r="JB26" s="261"/>
      <c r="JC26" s="261"/>
      <c r="JD26" s="261"/>
      <c r="JE26" s="261"/>
      <c r="JF26" s="261"/>
      <c r="JG26" s="261"/>
      <c r="JH26" s="261"/>
      <c r="JI26" s="261"/>
      <c r="JJ26" s="261"/>
      <c r="JK26" s="261"/>
      <c r="JL26" s="261"/>
      <c r="JM26" s="261"/>
      <c r="JN26" s="261"/>
      <c r="JO26" s="261"/>
      <c r="JP26" s="261"/>
      <c r="JQ26" s="261"/>
      <c r="JR26" s="261"/>
      <c r="JS26" s="261"/>
      <c r="JT26" s="261"/>
      <c r="JU26" s="261"/>
      <c r="JV26" s="261"/>
      <c r="JW26" s="261"/>
      <c r="JX26" s="261"/>
      <c r="JY26" s="261"/>
      <c r="JZ26" s="261"/>
      <c r="KA26" s="261"/>
      <c r="KB26" s="261"/>
      <c r="KC26" s="261"/>
      <c r="KD26" s="261"/>
      <c r="KE26" s="261"/>
      <c r="KF26" s="261"/>
      <c r="KG26" s="261"/>
      <c r="KH26" s="261"/>
      <c r="KI26" s="261"/>
      <c r="KJ26" s="261"/>
      <c r="KK26" s="261"/>
      <c r="KL26" s="261"/>
      <c r="KM26" s="261"/>
      <c r="KN26" s="261"/>
      <c r="KO26" s="261"/>
      <c r="KP26" s="261"/>
      <c r="KQ26" s="261"/>
      <c r="KR26" s="261"/>
      <c r="KS26" s="261"/>
      <c r="KT26" s="261"/>
      <c r="KU26" s="261"/>
      <c r="KV26" s="261"/>
      <c r="KW26" s="261"/>
      <c r="KX26" s="261"/>
      <c r="KY26" s="261"/>
      <c r="KZ26" s="261"/>
      <c r="LA26" s="261"/>
      <c r="LB26" s="261"/>
      <c r="LC26" s="261"/>
      <c r="LD26" s="261"/>
      <c r="LE26" s="261"/>
      <c r="LF26" s="261"/>
      <c r="LG26" s="261"/>
      <c r="LH26" s="261"/>
      <c r="LI26" s="261"/>
      <c r="LJ26" s="261"/>
      <c r="LK26" s="261"/>
      <c r="LL26" s="261"/>
      <c r="LM26" s="261"/>
      <c r="LN26" s="261"/>
      <c r="LO26" s="261"/>
      <c r="LP26" s="261"/>
      <c r="LQ26" s="261"/>
      <c r="LR26" s="261"/>
      <c r="LS26" s="261"/>
      <c r="LT26" s="261"/>
      <c r="LU26" s="261"/>
      <c r="LV26" s="261"/>
      <c r="LW26" s="261"/>
      <c r="LX26" s="261"/>
      <c r="LY26" s="261"/>
      <c r="LZ26" s="261"/>
      <c r="MA26" s="261"/>
      <c r="MB26" s="261"/>
      <c r="MC26" s="261"/>
      <c r="MD26" s="261"/>
      <c r="ME26" s="261"/>
      <c r="MF26" s="261"/>
      <c r="MG26" s="261"/>
      <c r="MH26" s="261"/>
      <c r="MI26" s="261"/>
      <c r="MJ26" s="261"/>
      <c r="MK26" s="261"/>
      <c r="ML26" s="261"/>
      <c r="MM26" s="261"/>
      <c r="MN26" s="261"/>
      <c r="MO26" s="261"/>
      <c r="MP26" s="261"/>
      <c r="MQ26" s="261"/>
      <c r="MR26" s="261"/>
      <c r="MS26" s="261"/>
      <c r="MT26" s="261"/>
      <c r="MU26" s="261"/>
      <c r="MV26" s="261"/>
      <c r="MW26" s="261"/>
      <c r="MX26" s="261"/>
      <c r="MY26" s="261"/>
      <c r="MZ26" s="261"/>
      <c r="NA26" s="261"/>
      <c r="NB26" s="261"/>
      <c r="NC26" s="261"/>
      <c r="ND26" s="261"/>
      <c r="NE26" s="261"/>
      <c r="NF26" s="261"/>
      <c r="NG26" s="261"/>
      <c r="NH26" s="261"/>
      <c r="NI26" s="261"/>
      <c r="NJ26" s="261"/>
      <c r="NK26" s="261"/>
      <c r="NL26" s="261"/>
      <c r="NM26" s="261"/>
      <c r="NN26" s="261"/>
      <c r="NO26" s="261"/>
      <c r="NP26" s="261"/>
      <c r="NQ26" s="261"/>
      <c r="NR26" s="261"/>
      <c r="NS26" s="261"/>
      <c r="NT26" s="261"/>
      <c r="NU26" s="261"/>
      <c r="NV26" s="261"/>
      <c r="NW26" s="261"/>
      <c r="NX26" s="261"/>
      <c r="NY26" s="261"/>
      <c r="NZ26" s="261"/>
      <c r="OA26" s="261"/>
      <c r="OB26" s="261"/>
      <c r="OC26" s="261"/>
      <c r="OD26" s="261"/>
      <c r="OE26" s="261"/>
      <c r="OF26" s="261"/>
      <c r="OG26" s="261"/>
      <c r="OH26" s="261"/>
      <c r="OI26" s="261"/>
      <c r="OJ26" s="261"/>
      <c r="OK26" s="261"/>
      <c r="OL26" s="261"/>
      <c r="OM26" s="261"/>
      <c r="ON26" s="261"/>
      <c r="OO26" s="261"/>
      <c r="OP26" s="261"/>
      <c r="OQ26" s="261"/>
      <c r="OR26" s="261"/>
      <c r="OS26" s="261"/>
      <c r="OT26" s="261"/>
      <c r="OU26" s="261"/>
      <c r="OV26" s="261"/>
      <c r="OW26" s="261"/>
      <c r="OX26" s="261"/>
      <c r="OY26" s="261"/>
      <c r="OZ26" s="261"/>
      <c r="PA26" s="261"/>
      <c r="PB26" s="261"/>
      <c r="PC26" s="261"/>
      <c r="PD26" s="261"/>
      <c r="PE26" s="261"/>
      <c r="PF26" s="261"/>
      <c r="PG26" s="261"/>
      <c r="PH26" s="261"/>
      <c r="PI26" s="261"/>
      <c r="PJ26" s="261"/>
      <c r="PK26" s="261"/>
      <c r="PL26" s="261"/>
      <c r="PM26" s="261"/>
      <c r="PN26" s="261"/>
      <c r="PO26" s="261"/>
      <c r="PP26" s="261"/>
      <c r="PQ26" s="261"/>
      <c r="PR26" s="261"/>
      <c r="PS26" s="261"/>
      <c r="PT26" s="261"/>
      <c r="PU26" s="261"/>
      <c r="PV26" s="261"/>
      <c r="PW26" s="261"/>
      <c r="PX26" s="261"/>
      <c r="PY26" s="261"/>
      <c r="PZ26" s="261"/>
      <c r="QA26" s="261"/>
      <c r="QB26" s="261"/>
      <c r="QC26" s="261"/>
      <c r="QD26" s="261"/>
      <c r="QE26" s="261"/>
      <c r="QF26" s="261"/>
      <c r="QG26" s="261"/>
      <c r="QH26" s="261"/>
      <c r="QI26" s="261"/>
      <c r="QJ26" s="261"/>
      <c r="QK26" s="261"/>
      <c r="QL26" s="261"/>
      <c r="QM26" s="261"/>
      <c r="QN26" s="261"/>
      <c r="QO26" s="261"/>
      <c r="QP26" s="261"/>
      <c r="QQ26" s="261"/>
      <c r="QR26" s="261"/>
      <c r="QS26" s="261"/>
      <c r="QT26" s="261"/>
      <c r="QU26" s="261"/>
      <c r="QV26" s="261"/>
      <c r="QW26" s="261"/>
      <c r="QX26" s="261"/>
      <c r="QY26" s="261"/>
      <c r="QZ26" s="261"/>
      <c r="RA26" s="261"/>
      <c r="RB26" s="261"/>
      <c r="RC26" s="261"/>
      <c r="RD26" s="261"/>
      <c r="RE26" s="261"/>
      <c r="RF26" s="261"/>
      <c r="RG26" s="261"/>
      <c r="RH26" s="261"/>
      <c r="RI26" s="261"/>
      <c r="RJ26" s="261"/>
      <c r="RK26" s="261"/>
      <c r="RL26" s="261"/>
      <c r="RM26" s="261"/>
      <c r="RN26" s="261"/>
      <c r="RO26" s="261"/>
      <c r="RP26" s="261"/>
      <c r="RQ26" s="261"/>
      <c r="RR26" s="261"/>
      <c r="RS26" s="261"/>
      <c r="RT26" s="261"/>
      <c r="RU26" s="261"/>
      <c r="RV26" s="261"/>
      <c r="RW26" s="261"/>
      <c r="RX26" s="261"/>
      <c r="RY26" s="261"/>
    </row>
    <row r="27" spans="1:493" s="217" customFormat="1">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9"/>
      <c r="AN27" s="269"/>
      <c r="AO27" s="269"/>
      <c r="AP27" s="225"/>
      <c r="AQ27" s="265"/>
      <c r="AR27" s="265"/>
      <c r="AS27" s="265"/>
      <c r="AT27" s="265"/>
      <c r="AU27" s="265"/>
      <c r="AV27" s="265"/>
      <c r="AW27" s="269"/>
      <c r="AX27" s="269"/>
      <c r="AY27" s="269"/>
      <c r="AZ27" s="269"/>
      <c r="BA27" s="265"/>
      <c r="BB27" s="265"/>
      <c r="BC27" s="265"/>
      <c r="BD27" s="265"/>
      <c r="BE27" s="265"/>
      <c r="BF27" s="265"/>
      <c r="BG27" s="265"/>
      <c r="BH27" s="265"/>
      <c r="BI27" s="265"/>
      <c r="BJ27" s="265"/>
      <c r="BK27" s="265"/>
      <c r="BL27" s="265"/>
      <c r="BM27" s="265"/>
      <c r="BN27" s="265"/>
      <c r="BO27" s="265"/>
      <c r="BP27" s="265"/>
      <c r="BQ27" s="265"/>
      <c r="BR27" s="265"/>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261"/>
      <c r="IW27" s="261"/>
      <c r="IX27" s="261"/>
      <c r="IY27" s="261"/>
      <c r="IZ27" s="261"/>
      <c r="JA27" s="261"/>
      <c r="JB27" s="261"/>
      <c r="JC27" s="261"/>
      <c r="JD27" s="261"/>
      <c r="JE27" s="261"/>
      <c r="JF27" s="261"/>
      <c r="JG27" s="261"/>
      <c r="JH27" s="261"/>
      <c r="JI27" s="261"/>
      <c r="JJ27" s="261"/>
      <c r="JK27" s="261"/>
      <c r="JL27" s="261"/>
      <c r="JM27" s="261"/>
      <c r="JN27" s="261"/>
      <c r="JO27" s="261"/>
      <c r="JP27" s="261"/>
      <c r="JQ27" s="261"/>
      <c r="JR27" s="261"/>
      <c r="JS27" s="261"/>
      <c r="JT27" s="261"/>
      <c r="JU27" s="261"/>
      <c r="JV27" s="261"/>
      <c r="JW27" s="261"/>
      <c r="JX27" s="261"/>
      <c r="JY27" s="261"/>
      <c r="JZ27" s="261"/>
      <c r="KA27" s="261"/>
      <c r="KB27" s="261"/>
      <c r="KC27" s="261"/>
      <c r="KD27" s="261"/>
      <c r="KE27" s="261"/>
      <c r="KF27" s="261"/>
      <c r="KG27" s="261"/>
      <c r="KH27" s="261"/>
      <c r="KI27" s="261"/>
      <c r="KJ27" s="261"/>
      <c r="KK27" s="261"/>
      <c r="KL27" s="261"/>
      <c r="KM27" s="261"/>
      <c r="KN27" s="261"/>
      <c r="KO27" s="261"/>
      <c r="KP27" s="261"/>
      <c r="KQ27" s="261"/>
      <c r="KR27" s="261"/>
      <c r="KS27" s="261"/>
      <c r="KT27" s="261"/>
      <c r="KU27" s="261"/>
      <c r="KV27" s="261"/>
      <c r="KW27" s="261"/>
      <c r="KX27" s="261"/>
      <c r="KY27" s="261"/>
      <c r="KZ27" s="261"/>
      <c r="LA27" s="261"/>
      <c r="LB27" s="261"/>
      <c r="LC27" s="261"/>
      <c r="LD27" s="261"/>
      <c r="LE27" s="261"/>
      <c r="LF27" s="261"/>
      <c r="LG27" s="261"/>
      <c r="LH27" s="261"/>
      <c r="LI27" s="261"/>
      <c r="LJ27" s="261"/>
      <c r="LK27" s="261"/>
      <c r="LL27" s="261"/>
      <c r="LM27" s="261"/>
      <c r="LN27" s="261"/>
      <c r="LO27" s="261"/>
      <c r="LP27" s="261"/>
      <c r="LQ27" s="261"/>
      <c r="LR27" s="261"/>
      <c r="LS27" s="261"/>
      <c r="LT27" s="261"/>
      <c r="LU27" s="261"/>
      <c r="LV27" s="261"/>
      <c r="LW27" s="261"/>
      <c r="LX27" s="261"/>
      <c r="LY27" s="261"/>
      <c r="LZ27" s="261"/>
      <c r="MA27" s="261"/>
      <c r="MB27" s="261"/>
      <c r="MC27" s="261"/>
      <c r="MD27" s="261"/>
      <c r="ME27" s="261"/>
      <c r="MF27" s="261"/>
      <c r="MG27" s="261"/>
      <c r="MH27" s="261"/>
      <c r="MI27" s="261"/>
      <c r="MJ27" s="261"/>
      <c r="MK27" s="261"/>
      <c r="ML27" s="261"/>
      <c r="MM27" s="261"/>
      <c r="MN27" s="261"/>
      <c r="MO27" s="261"/>
      <c r="MP27" s="261"/>
      <c r="MQ27" s="261"/>
      <c r="MR27" s="261"/>
      <c r="MS27" s="261"/>
      <c r="MT27" s="261"/>
      <c r="MU27" s="261"/>
      <c r="MV27" s="261"/>
      <c r="MW27" s="261"/>
      <c r="MX27" s="261"/>
      <c r="MY27" s="261"/>
      <c r="MZ27" s="261"/>
      <c r="NA27" s="261"/>
      <c r="NB27" s="261"/>
      <c r="NC27" s="261"/>
      <c r="ND27" s="261"/>
      <c r="NE27" s="261"/>
      <c r="NF27" s="261"/>
      <c r="NG27" s="261"/>
      <c r="NH27" s="261"/>
      <c r="NI27" s="261"/>
      <c r="NJ27" s="261"/>
      <c r="NK27" s="261"/>
      <c r="NL27" s="261"/>
      <c r="NM27" s="261"/>
      <c r="NN27" s="261"/>
      <c r="NO27" s="261"/>
      <c r="NP27" s="261"/>
      <c r="NQ27" s="261"/>
      <c r="NR27" s="261"/>
      <c r="NS27" s="261"/>
      <c r="NT27" s="261"/>
      <c r="NU27" s="261"/>
      <c r="NV27" s="261"/>
      <c r="NW27" s="261"/>
      <c r="NX27" s="261"/>
      <c r="NY27" s="261"/>
      <c r="NZ27" s="261"/>
      <c r="OA27" s="261"/>
      <c r="OB27" s="261"/>
      <c r="OC27" s="261"/>
      <c r="OD27" s="261"/>
      <c r="OE27" s="261"/>
      <c r="OF27" s="261"/>
      <c r="OG27" s="261"/>
      <c r="OH27" s="261"/>
      <c r="OI27" s="261"/>
      <c r="OJ27" s="261"/>
      <c r="OK27" s="261"/>
      <c r="OL27" s="261"/>
      <c r="OM27" s="261"/>
      <c r="ON27" s="261"/>
      <c r="OO27" s="261"/>
      <c r="OP27" s="261"/>
      <c r="OQ27" s="261"/>
      <c r="OR27" s="261"/>
      <c r="OS27" s="261"/>
      <c r="OT27" s="261"/>
      <c r="OU27" s="261"/>
      <c r="OV27" s="261"/>
      <c r="OW27" s="261"/>
      <c r="OX27" s="261"/>
      <c r="OY27" s="261"/>
      <c r="OZ27" s="261"/>
      <c r="PA27" s="261"/>
      <c r="PB27" s="261"/>
      <c r="PC27" s="261"/>
      <c r="PD27" s="261"/>
      <c r="PE27" s="261"/>
      <c r="PF27" s="261"/>
      <c r="PG27" s="261"/>
      <c r="PH27" s="261"/>
      <c r="PI27" s="261"/>
      <c r="PJ27" s="261"/>
      <c r="PK27" s="261"/>
      <c r="PL27" s="261"/>
      <c r="PM27" s="261"/>
      <c r="PN27" s="261"/>
      <c r="PO27" s="261"/>
      <c r="PP27" s="261"/>
      <c r="PQ27" s="261"/>
      <c r="PR27" s="261"/>
      <c r="PS27" s="261"/>
      <c r="PT27" s="261"/>
      <c r="PU27" s="261"/>
      <c r="PV27" s="261"/>
      <c r="PW27" s="261"/>
      <c r="PX27" s="261"/>
      <c r="PY27" s="261"/>
      <c r="PZ27" s="261"/>
      <c r="QA27" s="261"/>
      <c r="QB27" s="261"/>
      <c r="QC27" s="261"/>
      <c r="QD27" s="261"/>
      <c r="QE27" s="261"/>
      <c r="QF27" s="261"/>
      <c r="QG27" s="261"/>
      <c r="QH27" s="261"/>
      <c r="QI27" s="261"/>
      <c r="QJ27" s="261"/>
      <c r="QK27" s="261"/>
      <c r="QL27" s="261"/>
      <c r="QM27" s="261"/>
      <c r="QN27" s="261"/>
      <c r="QO27" s="261"/>
      <c r="QP27" s="261"/>
      <c r="QQ27" s="261"/>
      <c r="QR27" s="261"/>
      <c r="QS27" s="261"/>
      <c r="QT27" s="261"/>
      <c r="QU27" s="261"/>
      <c r="QV27" s="261"/>
      <c r="QW27" s="261"/>
      <c r="QX27" s="261"/>
      <c r="QY27" s="261"/>
      <c r="QZ27" s="261"/>
      <c r="RA27" s="261"/>
      <c r="RB27" s="261"/>
      <c r="RC27" s="261"/>
      <c r="RD27" s="261"/>
      <c r="RE27" s="261"/>
      <c r="RF27" s="261"/>
      <c r="RG27" s="261"/>
      <c r="RH27" s="261"/>
      <c r="RI27" s="261"/>
      <c r="RJ27" s="261"/>
      <c r="RK27" s="261"/>
      <c r="RL27" s="261"/>
      <c r="RM27" s="261"/>
      <c r="RN27" s="261"/>
      <c r="RO27" s="261"/>
      <c r="RP27" s="261"/>
      <c r="RQ27" s="261"/>
      <c r="RR27" s="261"/>
      <c r="RS27" s="261"/>
      <c r="RT27" s="261"/>
      <c r="RU27" s="261"/>
      <c r="RV27" s="261"/>
      <c r="RW27" s="261"/>
      <c r="RX27" s="261"/>
      <c r="RY27" s="261"/>
    </row>
    <row r="28" spans="1:493" s="217" customFormat="1">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9"/>
      <c r="AN28" s="269"/>
      <c r="AO28" s="269"/>
      <c r="AP28" s="225"/>
      <c r="AQ28" s="265"/>
      <c r="AR28" s="265"/>
      <c r="AS28" s="265"/>
      <c r="AT28" s="265"/>
      <c r="AU28" s="265"/>
      <c r="AV28" s="265"/>
      <c r="AW28" s="269"/>
      <c r="AX28" s="269"/>
      <c r="AY28" s="269"/>
      <c r="AZ28" s="226"/>
      <c r="BA28" s="265"/>
      <c r="BB28" s="265"/>
      <c r="BC28" s="265"/>
      <c r="BD28" s="265"/>
      <c r="BE28" s="265"/>
      <c r="BF28" s="265"/>
      <c r="BG28" s="265"/>
      <c r="BH28" s="265"/>
      <c r="BI28" s="265"/>
      <c r="BJ28" s="265"/>
      <c r="BK28" s="265"/>
      <c r="BL28" s="265"/>
      <c r="BM28" s="265"/>
      <c r="BN28" s="265"/>
      <c r="BO28" s="265"/>
      <c r="BP28" s="265"/>
      <c r="BQ28" s="265"/>
      <c r="BR28" s="265"/>
      <c r="BS28" s="261"/>
      <c r="BT28" s="261"/>
      <c r="BU28" s="261"/>
      <c r="BV28" s="261"/>
      <c r="BW28" s="261"/>
      <c r="BX28" s="261"/>
      <c r="BY28" s="261"/>
      <c r="BZ28" s="261"/>
      <c r="CA28" s="261"/>
      <c r="CB28" s="261"/>
      <c r="CC28" s="261"/>
      <c r="CD28" s="261"/>
      <c r="CE28" s="261"/>
      <c r="CF28" s="261"/>
      <c r="CG28" s="261"/>
      <c r="CH28" s="261"/>
      <c r="CI28" s="261"/>
      <c r="CJ28" s="261"/>
      <c r="CK28" s="261"/>
      <c r="CL28" s="261"/>
      <c r="CM28" s="261"/>
      <c r="CN28" s="261"/>
      <c r="CO28" s="26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c r="HJ28" s="261"/>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c r="IW28" s="261"/>
      <c r="IX28" s="261"/>
      <c r="IY28" s="261"/>
      <c r="IZ28" s="261"/>
      <c r="JA28" s="261"/>
      <c r="JB28" s="261"/>
      <c r="JC28" s="261"/>
      <c r="JD28" s="261"/>
      <c r="JE28" s="261"/>
      <c r="JF28" s="261"/>
      <c r="JG28" s="261"/>
      <c r="JH28" s="261"/>
      <c r="JI28" s="261"/>
      <c r="JJ28" s="261"/>
      <c r="JK28" s="261"/>
      <c r="JL28" s="261"/>
      <c r="JM28" s="261"/>
      <c r="JN28" s="261"/>
      <c r="JO28" s="261"/>
      <c r="JP28" s="261"/>
      <c r="JQ28" s="261"/>
      <c r="JR28" s="261"/>
      <c r="JS28" s="261"/>
      <c r="JT28" s="261"/>
      <c r="JU28" s="261"/>
      <c r="JV28" s="261"/>
      <c r="JW28" s="261"/>
      <c r="JX28" s="261"/>
      <c r="JY28" s="261"/>
      <c r="JZ28" s="261"/>
      <c r="KA28" s="261"/>
      <c r="KB28" s="261"/>
      <c r="KC28" s="261"/>
      <c r="KD28" s="261"/>
      <c r="KE28" s="261"/>
      <c r="KF28" s="261"/>
      <c r="KG28" s="261"/>
      <c r="KH28" s="261"/>
      <c r="KI28" s="261"/>
      <c r="KJ28" s="261"/>
      <c r="KK28" s="261"/>
      <c r="KL28" s="261"/>
      <c r="KM28" s="261"/>
      <c r="KN28" s="261"/>
      <c r="KO28" s="261"/>
      <c r="KP28" s="261"/>
      <c r="KQ28" s="261"/>
      <c r="KR28" s="261"/>
      <c r="KS28" s="261"/>
      <c r="KT28" s="261"/>
      <c r="KU28" s="261"/>
      <c r="KV28" s="261"/>
      <c r="KW28" s="261"/>
      <c r="KX28" s="261"/>
      <c r="KY28" s="261"/>
      <c r="KZ28" s="261"/>
      <c r="LA28" s="261"/>
      <c r="LB28" s="261"/>
      <c r="LC28" s="261"/>
      <c r="LD28" s="261"/>
      <c r="LE28" s="261"/>
      <c r="LF28" s="261"/>
      <c r="LG28" s="261"/>
      <c r="LH28" s="261"/>
      <c r="LI28" s="261"/>
      <c r="LJ28" s="261"/>
      <c r="LK28" s="261"/>
      <c r="LL28" s="261"/>
      <c r="LM28" s="261"/>
      <c r="LN28" s="261"/>
      <c r="LO28" s="261"/>
      <c r="LP28" s="261"/>
      <c r="LQ28" s="261"/>
      <c r="LR28" s="261"/>
      <c r="LS28" s="261"/>
      <c r="LT28" s="261"/>
      <c r="LU28" s="261"/>
      <c r="LV28" s="261"/>
      <c r="LW28" s="261"/>
      <c r="LX28" s="261"/>
      <c r="LY28" s="261"/>
      <c r="LZ28" s="261"/>
      <c r="MA28" s="261"/>
      <c r="MB28" s="261"/>
      <c r="MC28" s="261"/>
      <c r="MD28" s="261"/>
      <c r="ME28" s="261"/>
      <c r="MF28" s="261"/>
      <c r="MG28" s="261"/>
      <c r="MH28" s="261"/>
      <c r="MI28" s="261"/>
      <c r="MJ28" s="261"/>
      <c r="MK28" s="261"/>
      <c r="ML28" s="261"/>
      <c r="MM28" s="261"/>
      <c r="MN28" s="261"/>
      <c r="MO28" s="261"/>
      <c r="MP28" s="261"/>
      <c r="MQ28" s="261"/>
      <c r="MR28" s="261"/>
      <c r="MS28" s="261"/>
      <c r="MT28" s="261"/>
      <c r="MU28" s="261"/>
      <c r="MV28" s="261"/>
      <c r="MW28" s="261"/>
      <c r="MX28" s="261"/>
      <c r="MY28" s="261"/>
      <c r="MZ28" s="261"/>
      <c r="NA28" s="261"/>
      <c r="NB28" s="261"/>
      <c r="NC28" s="261"/>
      <c r="ND28" s="261"/>
      <c r="NE28" s="261"/>
      <c r="NF28" s="261"/>
      <c r="NG28" s="261"/>
      <c r="NH28" s="261"/>
      <c r="NI28" s="261"/>
      <c r="NJ28" s="261"/>
      <c r="NK28" s="261"/>
      <c r="NL28" s="261"/>
      <c r="NM28" s="261"/>
      <c r="NN28" s="261"/>
      <c r="NO28" s="261"/>
      <c r="NP28" s="261"/>
      <c r="NQ28" s="261"/>
      <c r="NR28" s="261"/>
      <c r="NS28" s="261"/>
      <c r="NT28" s="261"/>
      <c r="NU28" s="261"/>
      <c r="NV28" s="261"/>
      <c r="NW28" s="261"/>
      <c r="NX28" s="261"/>
      <c r="NY28" s="261"/>
      <c r="NZ28" s="261"/>
      <c r="OA28" s="261"/>
      <c r="OB28" s="261"/>
      <c r="OC28" s="261"/>
      <c r="OD28" s="261"/>
      <c r="OE28" s="261"/>
      <c r="OF28" s="261"/>
      <c r="OG28" s="261"/>
      <c r="OH28" s="261"/>
      <c r="OI28" s="261"/>
      <c r="OJ28" s="261"/>
      <c r="OK28" s="261"/>
      <c r="OL28" s="261"/>
      <c r="OM28" s="261"/>
      <c r="ON28" s="261"/>
      <c r="OO28" s="261"/>
      <c r="OP28" s="261"/>
      <c r="OQ28" s="261"/>
      <c r="OR28" s="261"/>
      <c r="OS28" s="261"/>
      <c r="OT28" s="261"/>
      <c r="OU28" s="261"/>
      <c r="OV28" s="261"/>
      <c r="OW28" s="261"/>
      <c r="OX28" s="261"/>
      <c r="OY28" s="261"/>
      <c r="OZ28" s="261"/>
      <c r="PA28" s="261"/>
      <c r="PB28" s="261"/>
      <c r="PC28" s="261"/>
      <c r="PD28" s="261"/>
      <c r="PE28" s="261"/>
      <c r="PF28" s="261"/>
      <c r="PG28" s="261"/>
      <c r="PH28" s="261"/>
      <c r="PI28" s="261"/>
      <c r="PJ28" s="261"/>
      <c r="PK28" s="261"/>
      <c r="PL28" s="261"/>
      <c r="PM28" s="261"/>
      <c r="PN28" s="261"/>
      <c r="PO28" s="261"/>
      <c r="PP28" s="261"/>
      <c r="PQ28" s="261"/>
      <c r="PR28" s="261"/>
      <c r="PS28" s="261"/>
      <c r="PT28" s="261"/>
      <c r="PU28" s="261"/>
      <c r="PV28" s="261"/>
      <c r="PW28" s="261"/>
      <c r="PX28" s="261"/>
      <c r="PY28" s="261"/>
      <c r="PZ28" s="261"/>
      <c r="QA28" s="261"/>
      <c r="QB28" s="261"/>
      <c r="QC28" s="261"/>
      <c r="QD28" s="261"/>
      <c r="QE28" s="261"/>
      <c r="QF28" s="261"/>
      <c r="QG28" s="261"/>
      <c r="QH28" s="261"/>
      <c r="QI28" s="261"/>
      <c r="QJ28" s="261"/>
      <c r="QK28" s="261"/>
      <c r="QL28" s="261"/>
      <c r="QM28" s="261"/>
      <c r="QN28" s="261"/>
      <c r="QO28" s="261"/>
      <c r="QP28" s="261"/>
      <c r="QQ28" s="261"/>
      <c r="QR28" s="261"/>
      <c r="QS28" s="261"/>
      <c r="QT28" s="261"/>
      <c r="QU28" s="261"/>
      <c r="QV28" s="261"/>
      <c r="QW28" s="261"/>
      <c r="QX28" s="261"/>
      <c r="QY28" s="261"/>
      <c r="QZ28" s="261"/>
      <c r="RA28" s="261"/>
      <c r="RB28" s="261"/>
      <c r="RC28" s="261"/>
      <c r="RD28" s="261"/>
      <c r="RE28" s="261"/>
      <c r="RF28" s="261"/>
      <c r="RG28" s="261"/>
      <c r="RH28" s="261"/>
      <c r="RI28" s="261"/>
      <c r="RJ28" s="261"/>
      <c r="RK28" s="261"/>
      <c r="RL28" s="261"/>
      <c r="RM28" s="261"/>
      <c r="RN28" s="261"/>
      <c r="RO28" s="261"/>
      <c r="RP28" s="261"/>
      <c r="RQ28" s="261"/>
      <c r="RR28" s="261"/>
      <c r="RS28" s="261"/>
      <c r="RT28" s="261"/>
      <c r="RU28" s="261"/>
      <c r="RV28" s="261"/>
      <c r="RW28" s="261"/>
      <c r="RX28" s="261"/>
      <c r="RY28" s="261"/>
    </row>
    <row r="29" spans="1:493" s="217" customFormat="1">
      <c r="A29" s="26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9"/>
      <c r="AN29" s="269"/>
      <c r="AO29" s="269"/>
      <c r="AP29" s="225"/>
      <c r="AQ29" s="265"/>
      <c r="AR29" s="265"/>
      <c r="AS29" s="265"/>
      <c r="AT29" s="265"/>
      <c r="AU29" s="265"/>
      <c r="AV29" s="265"/>
      <c r="AW29" s="269"/>
      <c r="AX29" s="269"/>
      <c r="AY29" s="269"/>
      <c r="AZ29" s="226"/>
      <c r="BA29" s="265"/>
      <c r="BB29" s="269"/>
      <c r="BC29" s="269"/>
      <c r="BD29" s="227"/>
      <c r="BE29" s="227"/>
      <c r="BF29" s="265"/>
      <c r="BG29" s="269"/>
      <c r="BH29" s="269"/>
      <c r="BI29" s="227"/>
      <c r="BJ29" s="227"/>
      <c r="BK29" s="265"/>
      <c r="BL29" s="265"/>
      <c r="BM29" s="265"/>
      <c r="BN29" s="265"/>
      <c r="BO29" s="265"/>
      <c r="BP29" s="265"/>
      <c r="BQ29" s="265"/>
      <c r="BR29" s="265"/>
      <c r="BS29" s="261"/>
      <c r="BT29" s="261"/>
      <c r="BU29" s="261"/>
      <c r="BV29" s="261"/>
      <c r="BW29" s="261"/>
      <c r="BX29" s="261"/>
      <c r="BY29" s="261"/>
      <c r="BZ29" s="261"/>
      <c r="CA29" s="261"/>
      <c r="CB29" s="261"/>
      <c r="CC29" s="261"/>
      <c r="CD29" s="261"/>
      <c r="CE29" s="261"/>
      <c r="CF29" s="261"/>
      <c r="CG29" s="261"/>
      <c r="CH29" s="261"/>
      <c r="CI29" s="261"/>
      <c r="CJ29" s="261"/>
      <c r="CK29" s="261"/>
      <c r="CL29" s="261"/>
      <c r="CM29" s="261"/>
      <c r="CN29" s="261"/>
      <c r="CO29" s="26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c r="HJ29" s="261"/>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c r="IW29" s="261"/>
      <c r="IX29" s="261"/>
      <c r="IY29" s="261"/>
      <c r="IZ29" s="261"/>
      <c r="JA29" s="261"/>
      <c r="JB29" s="261"/>
      <c r="JC29" s="261"/>
      <c r="JD29" s="261"/>
      <c r="JE29" s="261"/>
      <c r="JF29" s="261"/>
      <c r="JG29" s="261"/>
      <c r="JH29" s="261"/>
      <c r="JI29" s="261"/>
      <c r="JJ29" s="261"/>
      <c r="JK29" s="261"/>
      <c r="JL29" s="261"/>
      <c r="JM29" s="261"/>
      <c r="JN29" s="261"/>
      <c r="JO29" s="261"/>
      <c r="JP29" s="261"/>
      <c r="JQ29" s="261"/>
      <c r="JR29" s="261"/>
      <c r="JS29" s="261"/>
      <c r="JT29" s="261"/>
      <c r="JU29" s="261"/>
      <c r="JV29" s="261"/>
      <c r="JW29" s="261"/>
      <c r="JX29" s="261"/>
      <c r="JY29" s="261"/>
      <c r="JZ29" s="261"/>
      <c r="KA29" s="261"/>
      <c r="KB29" s="261"/>
      <c r="KC29" s="261"/>
      <c r="KD29" s="261"/>
      <c r="KE29" s="261"/>
      <c r="KF29" s="261"/>
      <c r="KG29" s="261"/>
      <c r="KH29" s="261"/>
      <c r="KI29" s="261"/>
      <c r="KJ29" s="261"/>
      <c r="KK29" s="261"/>
      <c r="KL29" s="261"/>
      <c r="KM29" s="261"/>
      <c r="KN29" s="261"/>
      <c r="KO29" s="261"/>
      <c r="KP29" s="261"/>
      <c r="KQ29" s="261"/>
      <c r="KR29" s="261"/>
      <c r="KS29" s="261"/>
      <c r="KT29" s="261"/>
      <c r="KU29" s="261"/>
      <c r="KV29" s="261"/>
      <c r="KW29" s="261"/>
      <c r="KX29" s="261"/>
      <c r="KY29" s="261"/>
      <c r="KZ29" s="261"/>
      <c r="LA29" s="261"/>
      <c r="LB29" s="261"/>
      <c r="LC29" s="261"/>
      <c r="LD29" s="261"/>
      <c r="LE29" s="261"/>
      <c r="LF29" s="261"/>
      <c r="LG29" s="261"/>
      <c r="LH29" s="261"/>
      <c r="LI29" s="261"/>
      <c r="LJ29" s="261"/>
      <c r="LK29" s="261"/>
      <c r="LL29" s="261"/>
      <c r="LM29" s="261"/>
      <c r="LN29" s="261"/>
      <c r="LO29" s="261"/>
      <c r="LP29" s="261"/>
      <c r="LQ29" s="261"/>
      <c r="LR29" s="261"/>
      <c r="LS29" s="261"/>
      <c r="LT29" s="261"/>
      <c r="LU29" s="261"/>
      <c r="LV29" s="261"/>
      <c r="LW29" s="261"/>
      <c r="LX29" s="261"/>
      <c r="LY29" s="261"/>
      <c r="LZ29" s="261"/>
      <c r="MA29" s="261"/>
      <c r="MB29" s="261"/>
      <c r="MC29" s="261"/>
      <c r="MD29" s="261"/>
      <c r="ME29" s="261"/>
      <c r="MF29" s="261"/>
      <c r="MG29" s="261"/>
      <c r="MH29" s="261"/>
      <c r="MI29" s="261"/>
      <c r="MJ29" s="261"/>
      <c r="MK29" s="261"/>
      <c r="ML29" s="261"/>
      <c r="MM29" s="261"/>
      <c r="MN29" s="261"/>
      <c r="MO29" s="261"/>
      <c r="MP29" s="261"/>
      <c r="MQ29" s="261"/>
      <c r="MR29" s="261"/>
      <c r="MS29" s="261"/>
      <c r="MT29" s="261"/>
      <c r="MU29" s="261"/>
      <c r="MV29" s="261"/>
      <c r="MW29" s="261"/>
      <c r="MX29" s="261"/>
      <c r="MY29" s="261"/>
      <c r="MZ29" s="261"/>
      <c r="NA29" s="261"/>
      <c r="NB29" s="261"/>
      <c r="NC29" s="261"/>
      <c r="ND29" s="261"/>
      <c r="NE29" s="261"/>
      <c r="NF29" s="261"/>
      <c r="NG29" s="261"/>
      <c r="NH29" s="261"/>
      <c r="NI29" s="261"/>
      <c r="NJ29" s="261"/>
      <c r="NK29" s="261"/>
      <c r="NL29" s="261"/>
      <c r="NM29" s="261"/>
      <c r="NN29" s="261"/>
      <c r="NO29" s="261"/>
      <c r="NP29" s="261"/>
      <c r="NQ29" s="261"/>
      <c r="NR29" s="261"/>
      <c r="NS29" s="261"/>
      <c r="NT29" s="261"/>
      <c r="NU29" s="261"/>
      <c r="NV29" s="261"/>
      <c r="NW29" s="261"/>
      <c r="NX29" s="261"/>
      <c r="NY29" s="261"/>
      <c r="NZ29" s="261"/>
      <c r="OA29" s="261"/>
      <c r="OB29" s="261"/>
      <c r="OC29" s="261"/>
      <c r="OD29" s="261"/>
      <c r="OE29" s="261"/>
      <c r="OF29" s="261"/>
      <c r="OG29" s="261"/>
      <c r="OH29" s="261"/>
      <c r="OI29" s="261"/>
      <c r="OJ29" s="261"/>
      <c r="OK29" s="261"/>
      <c r="OL29" s="261"/>
      <c r="OM29" s="261"/>
      <c r="ON29" s="261"/>
      <c r="OO29" s="261"/>
      <c r="OP29" s="261"/>
      <c r="OQ29" s="261"/>
      <c r="OR29" s="261"/>
      <c r="OS29" s="261"/>
      <c r="OT29" s="261"/>
      <c r="OU29" s="261"/>
      <c r="OV29" s="261"/>
      <c r="OW29" s="261"/>
      <c r="OX29" s="261"/>
      <c r="OY29" s="261"/>
      <c r="OZ29" s="261"/>
      <c r="PA29" s="261"/>
      <c r="PB29" s="261"/>
      <c r="PC29" s="261"/>
      <c r="PD29" s="261"/>
      <c r="PE29" s="261"/>
      <c r="PF29" s="261"/>
      <c r="PG29" s="261"/>
      <c r="PH29" s="261"/>
      <c r="PI29" s="261"/>
      <c r="PJ29" s="261"/>
      <c r="PK29" s="261"/>
      <c r="PL29" s="261"/>
      <c r="PM29" s="261"/>
      <c r="PN29" s="261"/>
      <c r="PO29" s="261"/>
      <c r="PP29" s="261"/>
      <c r="PQ29" s="261"/>
      <c r="PR29" s="261"/>
      <c r="PS29" s="261"/>
      <c r="PT29" s="261"/>
      <c r="PU29" s="261"/>
      <c r="PV29" s="261"/>
      <c r="PW29" s="261"/>
      <c r="PX29" s="261"/>
      <c r="PY29" s="261"/>
      <c r="PZ29" s="261"/>
      <c r="QA29" s="261"/>
      <c r="QB29" s="261"/>
      <c r="QC29" s="261"/>
      <c r="QD29" s="261"/>
      <c r="QE29" s="261"/>
      <c r="QF29" s="261"/>
      <c r="QG29" s="261"/>
      <c r="QH29" s="261"/>
      <c r="QI29" s="261"/>
      <c r="QJ29" s="261"/>
      <c r="QK29" s="261"/>
      <c r="QL29" s="261"/>
      <c r="QM29" s="261"/>
      <c r="QN29" s="261"/>
      <c r="QO29" s="261"/>
      <c r="QP29" s="261"/>
      <c r="QQ29" s="261"/>
      <c r="QR29" s="261"/>
      <c r="QS29" s="261"/>
      <c r="QT29" s="261"/>
      <c r="QU29" s="261"/>
      <c r="QV29" s="261"/>
      <c r="QW29" s="261"/>
      <c r="QX29" s="261"/>
      <c r="QY29" s="261"/>
      <c r="QZ29" s="261"/>
      <c r="RA29" s="261"/>
      <c r="RB29" s="261"/>
      <c r="RC29" s="261"/>
      <c r="RD29" s="261"/>
      <c r="RE29" s="261"/>
      <c r="RF29" s="261"/>
      <c r="RG29" s="261"/>
      <c r="RH29" s="261"/>
      <c r="RI29" s="261"/>
      <c r="RJ29" s="261"/>
      <c r="RK29" s="261"/>
      <c r="RL29" s="261"/>
      <c r="RM29" s="261"/>
      <c r="RN29" s="261"/>
      <c r="RO29" s="261"/>
      <c r="RP29" s="261"/>
      <c r="RQ29" s="261"/>
      <c r="RR29" s="261"/>
      <c r="RS29" s="261"/>
      <c r="RT29" s="261"/>
      <c r="RU29" s="261"/>
      <c r="RV29" s="261"/>
      <c r="RW29" s="261"/>
      <c r="RX29" s="261"/>
      <c r="RY29" s="261"/>
    </row>
    <row r="30" spans="1:493" s="217" customFormat="1">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9"/>
      <c r="AN30" s="269"/>
      <c r="AO30" s="269"/>
      <c r="AP30" s="269"/>
      <c r="AQ30" s="265"/>
      <c r="AR30" s="265"/>
      <c r="AS30" s="265"/>
      <c r="AT30" s="265"/>
      <c r="AU30" s="265"/>
      <c r="AV30" s="265"/>
      <c r="AW30" s="269"/>
      <c r="AX30" s="269"/>
      <c r="AY30" s="269"/>
      <c r="AZ30" s="269"/>
      <c r="BA30" s="265"/>
      <c r="BB30" s="265"/>
      <c r="BC30" s="270"/>
      <c r="BD30" s="269"/>
      <c r="BE30" s="269"/>
      <c r="BF30" s="265"/>
      <c r="BG30" s="265"/>
      <c r="BH30" s="270"/>
      <c r="BI30" s="269"/>
      <c r="BJ30" s="269"/>
      <c r="BK30" s="265"/>
      <c r="BL30" s="265"/>
      <c r="BM30" s="265"/>
      <c r="BN30" s="265"/>
      <c r="BO30" s="265"/>
      <c r="BP30" s="265"/>
      <c r="BQ30" s="265"/>
      <c r="BR30" s="265"/>
      <c r="BS30" s="261"/>
      <c r="BT30" s="261"/>
      <c r="BU30" s="261"/>
      <c r="BV30" s="261"/>
      <c r="BW30" s="261"/>
      <c r="BX30" s="261"/>
      <c r="BY30" s="261"/>
      <c r="BZ30" s="261"/>
      <c r="CA30" s="261"/>
      <c r="CB30" s="261"/>
      <c r="CC30" s="261"/>
      <c r="CD30" s="261"/>
      <c r="CE30" s="261"/>
      <c r="CF30" s="261"/>
      <c r="CG30" s="261"/>
      <c r="CH30" s="261"/>
      <c r="CI30" s="261"/>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1"/>
      <c r="HG30" s="261"/>
      <c r="HH30" s="261"/>
      <c r="HI30" s="261"/>
      <c r="HJ30" s="261"/>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c r="IS30" s="261"/>
      <c r="IT30" s="261"/>
      <c r="IU30" s="261"/>
      <c r="IV30" s="261"/>
      <c r="IW30" s="261"/>
      <c r="IX30" s="261"/>
      <c r="IY30" s="261"/>
      <c r="IZ30" s="261"/>
      <c r="JA30" s="261"/>
      <c r="JB30" s="261"/>
      <c r="JC30" s="261"/>
      <c r="JD30" s="261"/>
      <c r="JE30" s="261"/>
      <c r="JF30" s="261"/>
      <c r="JG30" s="261"/>
      <c r="JH30" s="261"/>
      <c r="JI30" s="261"/>
      <c r="JJ30" s="261"/>
      <c r="JK30" s="261"/>
      <c r="JL30" s="261"/>
      <c r="JM30" s="261"/>
      <c r="JN30" s="261"/>
      <c r="JO30" s="261"/>
      <c r="JP30" s="261"/>
      <c r="JQ30" s="261"/>
      <c r="JR30" s="261"/>
      <c r="JS30" s="261"/>
      <c r="JT30" s="261"/>
      <c r="JU30" s="261"/>
      <c r="JV30" s="261"/>
      <c r="JW30" s="261"/>
      <c r="JX30" s="261"/>
      <c r="JY30" s="261"/>
      <c r="JZ30" s="261"/>
      <c r="KA30" s="261"/>
      <c r="KB30" s="261"/>
      <c r="KC30" s="261"/>
      <c r="KD30" s="261"/>
      <c r="KE30" s="261"/>
      <c r="KF30" s="261"/>
      <c r="KG30" s="261"/>
      <c r="KH30" s="261"/>
      <c r="KI30" s="261"/>
      <c r="KJ30" s="261"/>
      <c r="KK30" s="261"/>
      <c r="KL30" s="261"/>
      <c r="KM30" s="261"/>
      <c r="KN30" s="261"/>
      <c r="KO30" s="261"/>
      <c r="KP30" s="261"/>
      <c r="KQ30" s="261"/>
      <c r="KR30" s="261"/>
      <c r="KS30" s="261"/>
      <c r="KT30" s="261"/>
      <c r="KU30" s="261"/>
      <c r="KV30" s="261"/>
      <c r="KW30" s="261"/>
      <c r="KX30" s="261"/>
      <c r="KY30" s="261"/>
      <c r="KZ30" s="261"/>
      <c r="LA30" s="261"/>
      <c r="LB30" s="261"/>
      <c r="LC30" s="261"/>
      <c r="LD30" s="261"/>
      <c r="LE30" s="261"/>
      <c r="LF30" s="261"/>
      <c r="LG30" s="261"/>
      <c r="LH30" s="261"/>
      <c r="LI30" s="261"/>
      <c r="LJ30" s="261"/>
      <c r="LK30" s="261"/>
      <c r="LL30" s="261"/>
      <c r="LM30" s="261"/>
      <c r="LN30" s="261"/>
      <c r="LO30" s="261"/>
      <c r="LP30" s="261"/>
      <c r="LQ30" s="261"/>
      <c r="LR30" s="261"/>
      <c r="LS30" s="261"/>
      <c r="LT30" s="261"/>
      <c r="LU30" s="261"/>
      <c r="LV30" s="261"/>
      <c r="LW30" s="261"/>
      <c r="LX30" s="261"/>
      <c r="LY30" s="261"/>
      <c r="LZ30" s="261"/>
      <c r="MA30" s="261"/>
      <c r="MB30" s="261"/>
      <c r="MC30" s="261"/>
      <c r="MD30" s="261"/>
      <c r="ME30" s="261"/>
      <c r="MF30" s="261"/>
      <c r="MG30" s="261"/>
      <c r="MH30" s="261"/>
      <c r="MI30" s="261"/>
      <c r="MJ30" s="261"/>
      <c r="MK30" s="261"/>
      <c r="ML30" s="261"/>
      <c r="MM30" s="261"/>
      <c r="MN30" s="261"/>
      <c r="MO30" s="261"/>
      <c r="MP30" s="261"/>
      <c r="MQ30" s="261"/>
      <c r="MR30" s="261"/>
      <c r="MS30" s="261"/>
      <c r="MT30" s="261"/>
      <c r="MU30" s="261"/>
      <c r="MV30" s="261"/>
      <c r="MW30" s="261"/>
      <c r="MX30" s="261"/>
      <c r="MY30" s="261"/>
      <c r="MZ30" s="261"/>
      <c r="NA30" s="261"/>
      <c r="NB30" s="261"/>
      <c r="NC30" s="261"/>
      <c r="ND30" s="261"/>
      <c r="NE30" s="261"/>
      <c r="NF30" s="261"/>
      <c r="NG30" s="261"/>
      <c r="NH30" s="261"/>
      <c r="NI30" s="261"/>
      <c r="NJ30" s="261"/>
      <c r="NK30" s="261"/>
      <c r="NL30" s="261"/>
      <c r="NM30" s="261"/>
      <c r="NN30" s="261"/>
      <c r="NO30" s="261"/>
      <c r="NP30" s="261"/>
      <c r="NQ30" s="261"/>
      <c r="NR30" s="261"/>
      <c r="NS30" s="261"/>
      <c r="NT30" s="261"/>
      <c r="NU30" s="261"/>
      <c r="NV30" s="261"/>
      <c r="NW30" s="261"/>
      <c r="NX30" s="261"/>
      <c r="NY30" s="261"/>
      <c r="NZ30" s="261"/>
      <c r="OA30" s="261"/>
      <c r="OB30" s="261"/>
      <c r="OC30" s="261"/>
      <c r="OD30" s="261"/>
      <c r="OE30" s="261"/>
      <c r="OF30" s="261"/>
      <c r="OG30" s="261"/>
      <c r="OH30" s="261"/>
      <c r="OI30" s="261"/>
      <c r="OJ30" s="261"/>
      <c r="OK30" s="261"/>
      <c r="OL30" s="261"/>
      <c r="OM30" s="261"/>
      <c r="ON30" s="261"/>
      <c r="OO30" s="261"/>
      <c r="OP30" s="261"/>
      <c r="OQ30" s="261"/>
      <c r="OR30" s="261"/>
      <c r="OS30" s="261"/>
      <c r="OT30" s="261"/>
      <c r="OU30" s="261"/>
      <c r="OV30" s="261"/>
      <c r="OW30" s="261"/>
      <c r="OX30" s="261"/>
      <c r="OY30" s="261"/>
      <c r="OZ30" s="261"/>
      <c r="PA30" s="261"/>
      <c r="PB30" s="261"/>
      <c r="PC30" s="261"/>
      <c r="PD30" s="261"/>
      <c r="PE30" s="261"/>
      <c r="PF30" s="261"/>
      <c r="PG30" s="261"/>
      <c r="PH30" s="261"/>
      <c r="PI30" s="261"/>
      <c r="PJ30" s="261"/>
      <c r="PK30" s="261"/>
      <c r="PL30" s="261"/>
      <c r="PM30" s="261"/>
      <c r="PN30" s="261"/>
      <c r="PO30" s="261"/>
      <c r="PP30" s="261"/>
      <c r="PQ30" s="261"/>
      <c r="PR30" s="261"/>
      <c r="PS30" s="261"/>
      <c r="PT30" s="261"/>
      <c r="PU30" s="261"/>
      <c r="PV30" s="261"/>
      <c r="PW30" s="261"/>
      <c r="PX30" s="261"/>
      <c r="PY30" s="261"/>
      <c r="PZ30" s="261"/>
      <c r="QA30" s="261"/>
      <c r="QB30" s="261"/>
      <c r="QC30" s="261"/>
      <c r="QD30" s="261"/>
      <c r="QE30" s="261"/>
      <c r="QF30" s="261"/>
      <c r="QG30" s="261"/>
      <c r="QH30" s="261"/>
      <c r="QI30" s="261"/>
      <c r="QJ30" s="261"/>
      <c r="QK30" s="261"/>
      <c r="QL30" s="261"/>
      <c r="QM30" s="261"/>
      <c r="QN30" s="261"/>
      <c r="QO30" s="261"/>
      <c r="QP30" s="261"/>
      <c r="QQ30" s="261"/>
      <c r="QR30" s="261"/>
      <c r="QS30" s="261"/>
      <c r="QT30" s="261"/>
      <c r="QU30" s="261"/>
      <c r="QV30" s="261"/>
      <c r="QW30" s="261"/>
      <c r="QX30" s="261"/>
      <c r="QY30" s="261"/>
      <c r="QZ30" s="261"/>
      <c r="RA30" s="261"/>
      <c r="RB30" s="261"/>
      <c r="RC30" s="261"/>
      <c r="RD30" s="261"/>
      <c r="RE30" s="261"/>
      <c r="RF30" s="261"/>
      <c r="RG30" s="261"/>
      <c r="RH30" s="261"/>
      <c r="RI30" s="261"/>
      <c r="RJ30" s="261"/>
      <c r="RK30" s="261"/>
      <c r="RL30" s="261"/>
      <c r="RM30" s="261"/>
      <c r="RN30" s="261"/>
      <c r="RO30" s="261"/>
      <c r="RP30" s="261"/>
      <c r="RQ30" s="261"/>
      <c r="RR30" s="261"/>
      <c r="RS30" s="261"/>
      <c r="RT30" s="261"/>
      <c r="RU30" s="261"/>
      <c r="RV30" s="261"/>
      <c r="RW30" s="261"/>
      <c r="RX30" s="261"/>
      <c r="RY30" s="261"/>
    </row>
    <row r="31" spans="1:493" s="217" customFormat="1">
      <c r="A31" s="26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9"/>
      <c r="AN31" s="269"/>
      <c r="AO31" s="269"/>
      <c r="AP31" s="269"/>
      <c r="AQ31" s="265"/>
      <c r="AR31" s="265"/>
      <c r="AS31" s="265"/>
      <c r="AT31" s="265"/>
      <c r="AU31" s="265"/>
      <c r="AV31" s="265"/>
      <c r="AW31" s="269"/>
      <c r="AX31" s="269"/>
      <c r="AY31" s="269"/>
      <c r="AZ31" s="269"/>
      <c r="BA31" s="265"/>
      <c r="BB31" s="265"/>
      <c r="BC31" s="265"/>
      <c r="BD31" s="269"/>
      <c r="BE31" s="265"/>
      <c r="BF31" s="224"/>
      <c r="BG31" s="265"/>
      <c r="BH31" s="265"/>
      <c r="BI31" s="269"/>
      <c r="BJ31" s="265"/>
      <c r="BK31" s="224"/>
      <c r="BL31" s="265"/>
      <c r="BM31" s="265"/>
      <c r="BN31" s="265"/>
      <c r="BO31" s="265"/>
      <c r="BP31" s="265"/>
      <c r="BQ31" s="265"/>
      <c r="BR31" s="265"/>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c r="HD31" s="261"/>
      <c r="HE31" s="261"/>
      <c r="HF31" s="261"/>
      <c r="HG31" s="261"/>
      <c r="HH31" s="261"/>
      <c r="HI31" s="261"/>
      <c r="HJ31" s="261"/>
      <c r="HK31" s="261"/>
      <c r="HL31" s="261"/>
      <c r="HM31" s="261"/>
      <c r="HN31" s="261"/>
      <c r="HO31" s="261"/>
      <c r="HP31" s="261"/>
      <c r="HQ31" s="261"/>
      <c r="HR31" s="261"/>
      <c r="HS31" s="261"/>
      <c r="HT31" s="261"/>
      <c r="HU31" s="261"/>
      <c r="HV31" s="261"/>
      <c r="HW31" s="261"/>
      <c r="HX31" s="261"/>
      <c r="HY31" s="261"/>
      <c r="HZ31" s="261"/>
      <c r="IA31" s="261"/>
      <c r="IB31" s="261"/>
      <c r="IC31" s="261"/>
      <c r="ID31" s="261"/>
      <c r="IE31" s="261"/>
      <c r="IF31" s="261"/>
      <c r="IG31" s="261"/>
      <c r="IH31" s="261"/>
      <c r="II31" s="261"/>
      <c r="IJ31" s="261"/>
      <c r="IK31" s="261"/>
      <c r="IL31" s="261"/>
      <c r="IM31" s="261"/>
      <c r="IN31" s="261"/>
      <c r="IO31" s="261"/>
      <c r="IP31" s="261"/>
      <c r="IQ31" s="261"/>
      <c r="IR31" s="261"/>
      <c r="IS31" s="261"/>
      <c r="IT31" s="261"/>
      <c r="IU31" s="261"/>
      <c r="IV31" s="261"/>
      <c r="IW31" s="261"/>
      <c r="IX31" s="261"/>
      <c r="IY31" s="261"/>
      <c r="IZ31" s="261"/>
      <c r="JA31" s="261"/>
      <c r="JB31" s="261"/>
      <c r="JC31" s="261"/>
      <c r="JD31" s="261"/>
      <c r="JE31" s="261"/>
      <c r="JF31" s="261"/>
      <c r="JG31" s="261"/>
      <c r="JH31" s="261"/>
      <c r="JI31" s="261"/>
      <c r="JJ31" s="261"/>
      <c r="JK31" s="261"/>
      <c r="JL31" s="261"/>
      <c r="JM31" s="261"/>
      <c r="JN31" s="261"/>
      <c r="JO31" s="261"/>
      <c r="JP31" s="261"/>
      <c r="JQ31" s="261"/>
      <c r="JR31" s="261"/>
      <c r="JS31" s="261"/>
      <c r="JT31" s="261"/>
      <c r="JU31" s="261"/>
      <c r="JV31" s="261"/>
      <c r="JW31" s="261"/>
      <c r="JX31" s="261"/>
      <c r="JY31" s="261"/>
      <c r="JZ31" s="261"/>
      <c r="KA31" s="261"/>
      <c r="KB31" s="261"/>
      <c r="KC31" s="261"/>
      <c r="KD31" s="261"/>
      <c r="KE31" s="261"/>
      <c r="KF31" s="261"/>
      <c r="KG31" s="261"/>
      <c r="KH31" s="261"/>
      <c r="KI31" s="261"/>
      <c r="KJ31" s="261"/>
      <c r="KK31" s="261"/>
      <c r="KL31" s="261"/>
      <c r="KM31" s="261"/>
      <c r="KN31" s="261"/>
      <c r="KO31" s="261"/>
      <c r="KP31" s="261"/>
      <c r="KQ31" s="261"/>
      <c r="KR31" s="261"/>
      <c r="KS31" s="261"/>
      <c r="KT31" s="261"/>
      <c r="KU31" s="261"/>
      <c r="KV31" s="261"/>
      <c r="KW31" s="261"/>
      <c r="KX31" s="261"/>
      <c r="KY31" s="261"/>
      <c r="KZ31" s="261"/>
      <c r="LA31" s="261"/>
      <c r="LB31" s="261"/>
      <c r="LC31" s="261"/>
      <c r="LD31" s="261"/>
      <c r="LE31" s="261"/>
      <c r="LF31" s="261"/>
      <c r="LG31" s="261"/>
      <c r="LH31" s="261"/>
      <c r="LI31" s="261"/>
      <c r="LJ31" s="261"/>
      <c r="LK31" s="261"/>
      <c r="LL31" s="261"/>
      <c r="LM31" s="261"/>
      <c r="LN31" s="261"/>
      <c r="LO31" s="261"/>
      <c r="LP31" s="261"/>
      <c r="LQ31" s="261"/>
      <c r="LR31" s="261"/>
      <c r="LS31" s="261"/>
      <c r="LT31" s="261"/>
      <c r="LU31" s="261"/>
      <c r="LV31" s="261"/>
      <c r="LW31" s="261"/>
      <c r="LX31" s="261"/>
      <c r="LY31" s="261"/>
      <c r="LZ31" s="261"/>
      <c r="MA31" s="261"/>
      <c r="MB31" s="261"/>
      <c r="MC31" s="261"/>
      <c r="MD31" s="261"/>
      <c r="ME31" s="261"/>
      <c r="MF31" s="261"/>
      <c r="MG31" s="261"/>
      <c r="MH31" s="261"/>
      <c r="MI31" s="261"/>
      <c r="MJ31" s="261"/>
      <c r="MK31" s="261"/>
      <c r="ML31" s="261"/>
      <c r="MM31" s="261"/>
      <c r="MN31" s="261"/>
      <c r="MO31" s="261"/>
      <c r="MP31" s="261"/>
      <c r="MQ31" s="261"/>
      <c r="MR31" s="261"/>
      <c r="MS31" s="261"/>
      <c r="MT31" s="261"/>
      <c r="MU31" s="261"/>
      <c r="MV31" s="261"/>
      <c r="MW31" s="261"/>
      <c r="MX31" s="261"/>
      <c r="MY31" s="261"/>
      <c r="MZ31" s="261"/>
      <c r="NA31" s="261"/>
      <c r="NB31" s="261"/>
      <c r="NC31" s="261"/>
      <c r="ND31" s="261"/>
      <c r="NE31" s="261"/>
      <c r="NF31" s="261"/>
      <c r="NG31" s="261"/>
      <c r="NH31" s="261"/>
      <c r="NI31" s="261"/>
      <c r="NJ31" s="261"/>
      <c r="NK31" s="261"/>
      <c r="NL31" s="261"/>
      <c r="NM31" s="261"/>
      <c r="NN31" s="261"/>
      <c r="NO31" s="261"/>
      <c r="NP31" s="261"/>
      <c r="NQ31" s="261"/>
      <c r="NR31" s="261"/>
      <c r="NS31" s="261"/>
      <c r="NT31" s="261"/>
      <c r="NU31" s="261"/>
      <c r="NV31" s="261"/>
      <c r="NW31" s="261"/>
      <c r="NX31" s="261"/>
      <c r="NY31" s="261"/>
      <c r="NZ31" s="261"/>
      <c r="OA31" s="261"/>
      <c r="OB31" s="261"/>
      <c r="OC31" s="261"/>
      <c r="OD31" s="261"/>
      <c r="OE31" s="261"/>
      <c r="OF31" s="261"/>
      <c r="OG31" s="261"/>
      <c r="OH31" s="261"/>
      <c r="OI31" s="261"/>
      <c r="OJ31" s="261"/>
      <c r="OK31" s="261"/>
      <c r="OL31" s="261"/>
      <c r="OM31" s="261"/>
      <c r="ON31" s="261"/>
      <c r="OO31" s="261"/>
      <c r="OP31" s="261"/>
      <c r="OQ31" s="261"/>
      <c r="OR31" s="261"/>
      <c r="OS31" s="261"/>
      <c r="OT31" s="261"/>
      <c r="OU31" s="261"/>
      <c r="OV31" s="261"/>
      <c r="OW31" s="261"/>
      <c r="OX31" s="261"/>
      <c r="OY31" s="261"/>
      <c r="OZ31" s="261"/>
      <c r="PA31" s="261"/>
      <c r="PB31" s="261"/>
      <c r="PC31" s="261"/>
      <c r="PD31" s="261"/>
      <c r="PE31" s="261"/>
      <c r="PF31" s="261"/>
      <c r="PG31" s="261"/>
      <c r="PH31" s="261"/>
      <c r="PI31" s="261"/>
      <c r="PJ31" s="261"/>
      <c r="PK31" s="261"/>
      <c r="PL31" s="261"/>
      <c r="PM31" s="261"/>
      <c r="PN31" s="261"/>
      <c r="PO31" s="261"/>
      <c r="PP31" s="261"/>
      <c r="PQ31" s="261"/>
      <c r="PR31" s="261"/>
      <c r="PS31" s="261"/>
      <c r="PT31" s="261"/>
      <c r="PU31" s="261"/>
      <c r="PV31" s="261"/>
      <c r="PW31" s="261"/>
      <c r="PX31" s="261"/>
      <c r="PY31" s="261"/>
      <c r="PZ31" s="261"/>
      <c r="QA31" s="261"/>
      <c r="QB31" s="261"/>
      <c r="QC31" s="261"/>
      <c r="QD31" s="261"/>
      <c r="QE31" s="261"/>
      <c r="QF31" s="261"/>
      <c r="QG31" s="261"/>
      <c r="QH31" s="261"/>
      <c r="QI31" s="261"/>
      <c r="QJ31" s="261"/>
      <c r="QK31" s="261"/>
      <c r="QL31" s="261"/>
      <c r="QM31" s="261"/>
      <c r="QN31" s="261"/>
      <c r="QO31" s="261"/>
      <c r="QP31" s="261"/>
      <c r="QQ31" s="261"/>
      <c r="QR31" s="261"/>
      <c r="QS31" s="261"/>
      <c r="QT31" s="261"/>
      <c r="QU31" s="261"/>
      <c r="QV31" s="261"/>
      <c r="QW31" s="261"/>
      <c r="QX31" s="261"/>
      <c r="QY31" s="261"/>
      <c r="QZ31" s="261"/>
      <c r="RA31" s="261"/>
      <c r="RB31" s="261"/>
      <c r="RC31" s="261"/>
      <c r="RD31" s="261"/>
      <c r="RE31" s="261"/>
      <c r="RF31" s="261"/>
      <c r="RG31" s="261"/>
      <c r="RH31" s="261"/>
      <c r="RI31" s="261"/>
      <c r="RJ31" s="261"/>
      <c r="RK31" s="261"/>
      <c r="RL31" s="261"/>
      <c r="RM31" s="261"/>
      <c r="RN31" s="261"/>
      <c r="RO31" s="261"/>
      <c r="RP31" s="261"/>
      <c r="RQ31" s="261"/>
      <c r="RR31" s="261"/>
      <c r="RS31" s="261"/>
      <c r="RT31" s="261"/>
      <c r="RU31" s="261"/>
      <c r="RV31" s="261"/>
      <c r="RW31" s="261"/>
      <c r="RX31" s="261"/>
      <c r="RY31" s="261"/>
    </row>
    <row r="32" spans="1:493" s="217" customFormat="1">
      <c r="A32" s="26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9"/>
      <c r="AN32" s="269"/>
      <c r="AO32" s="269"/>
      <c r="AP32" s="269"/>
      <c r="AQ32" s="265"/>
      <c r="AR32" s="265"/>
      <c r="AS32" s="265"/>
      <c r="AT32" s="265"/>
      <c r="AU32" s="265"/>
      <c r="AV32" s="265"/>
      <c r="AW32" s="269"/>
      <c r="AX32" s="269"/>
      <c r="AY32" s="269"/>
      <c r="AZ32" s="269"/>
      <c r="BA32" s="265"/>
      <c r="BB32" s="265"/>
      <c r="BC32" s="265"/>
      <c r="BD32" s="226"/>
      <c r="BE32" s="223"/>
      <c r="BF32" s="265"/>
      <c r="BG32" s="265"/>
      <c r="BH32" s="265"/>
      <c r="BI32" s="226"/>
      <c r="BJ32" s="223"/>
      <c r="BK32" s="265"/>
      <c r="BL32" s="265"/>
      <c r="BM32" s="265"/>
      <c r="BN32" s="265"/>
      <c r="BO32" s="265"/>
      <c r="BP32" s="265"/>
      <c r="BQ32" s="265"/>
      <c r="BR32" s="265"/>
      <c r="BS32" s="261"/>
      <c r="BT32" s="261"/>
      <c r="BU32" s="261"/>
      <c r="BV32" s="261"/>
      <c r="BW32" s="261"/>
      <c r="BX32" s="261"/>
      <c r="BY32" s="261"/>
      <c r="BZ32" s="261"/>
      <c r="CA32" s="261"/>
      <c r="CB32" s="261"/>
      <c r="CC32" s="261"/>
      <c r="CD32" s="261"/>
      <c r="CE32" s="261"/>
      <c r="CF32" s="261"/>
      <c r="CG32" s="261"/>
      <c r="CH32" s="261"/>
      <c r="CI32" s="261"/>
      <c r="CJ32" s="261"/>
      <c r="CK32" s="261"/>
      <c r="CL32" s="261"/>
      <c r="CM32" s="261"/>
      <c r="CN32" s="261"/>
      <c r="CO32" s="261"/>
      <c r="CP32" s="261"/>
      <c r="CQ32" s="261"/>
      <c r="CR32" s="261"/>
      <c r="CS32" s="261"/>
      <c r="CT32" s="261"/>
      <c r="CU32" s="261"/>
      <c r="CV32" s="261"/>
      <c r="CW32" s="261"/>
      <c r="CX32" s="261"/>
      <c r="CY32" s="261"/>
      <c r="CZ32" s="261"/>
      <c r="DA32" s="261"/>
      <c r="DB32" s="261"/>
      <c r="DC32" s="261"/>
      <c r="DD32" s="261"/>
      <c r="DE32" s="261"/>
      <c r="DF32" s="261"/>
      <c r="DG32" s="261"/>
      <c r="DH32" s="261"/>
      <c r="DI32" s="261"/>
      <c r="DJ32" s="261"/>
      <c r="DK32" s="261"/>
      <c r="DL32" s="261"/>
      <c r="DM32" s="261"/>
      <c r="DN32" s="261"/>
      <c r="DO32" s="261"/>
      <c r="DP32" s="261"/>
      <c r="DQ32" s="261"/>
      <c r="DR32" s="261"/>
      <c r="DS32" s="261"/>
      <c r="DT32" s="261"/>
      <c r="DU32" s="261"/>
      <c r="DV32" s="261"/>
      <c r="DW32" s="261"/>
      <c r="DX32" s="261"/>
      <c r="DY32" s="261"/>
      <c r="DZ32" s="261"/>
      <c r="EA32" s="261"/>
      <c r="EB32" s="261"/>
      <c r="EC32" s="261"/>
      <c r="ED32" s="261"/>
      <c r="EE32" s="261"/>
      <c r="EF32" s="261"/>
      <c r="EG32" s="261"/>
      <c r="EH32" s="261"/>
      <c r="EI32" s="261"/>
      <c r="EJ32" s="261"/>
      <c r="EK32" s="261"/>
      <c r="EL32" s="261"/>
      <c r="EM32" s="261"/>
      <c r="EN32" s="261"/>
      <c r="EO32" s="261"/>
      <c r="EP32" s="261"/>
      <c r="EQ32" s="261"/>
      <c r="ER32" s="261"/>
      <c r="ES32" s="261"/>
      <c r="ET32" s="261"/>
      <c r="EU32" s="261"/>
      <c r="EV32" s="261"/>
      <c r="EW32" s="261"/>
      <c r="EX32" s="261"/>
      <c r="EY32" s="261"/>
      <c r="EZ32" s="261"/>
      <c r="FA32" s="261"/>
      <c r="FB32" s="261"/>
      <c r="FC32" s="261"/>
      <c r="FD32" s="261"/>
      <c r="FE32" s="261"/>
      <c r="FF32" s="261"/>
      <c r="FG32" s="261"/>
      <c r="FH32" s="261"/>
      <c r="FI32" s="261"/>
      <c r="FJ32" s="261"/>
      <c r="FK32" s="261"/>
      <c r="FL32" s="261"/>
      <c r="FM32" s="261"/>
      <c r="FN32" s="261"/>
      <c r="FO32" s="261"/>
      <c r="FP32" s="261"/>
      <c r="FQ32" s="261"/>
      <c r="FR32" s="261"/>
      <c r="FS32" s="261"/>
      <c r="FT32" s="261"/>
      <c r="FU32" s="261"/>
      <c r="FV32" s="261"/>
      <c r="FW32" s="261"/>
      <c r="FX32" s="261"/>
      <c r="FY32" s="261"/>
      <c r="FZ32" s="261"/>
      <c r="GA32" s="261"/>
      <c r="GB32" s="261"/>
      <c r="GC32" s="261"/>
      <c r="GD32" s="261"/>
      <c r="GE32" s="261"/>
      <c r="GF32" s="261"/>
      <c r="GG32" s="261"/>
      <c r="GH32" s="261"/>
      <c r="GI32" s="261"/>
      <c r="GJ32" s="261"/>
      <c r="GK32" s="261"/>
      <c r="GL32" s="261"/>
      <c r="GM32" s="261"/>
      <c r="GN32" s="261"/>
      <c r="GO32" s="261"/>
      <c r="GP32" s="261"/>
      <c r="GQ32" s="261"/>
      <c r="GR32" s="261"/>
      <c r="GS32" s="261"/>
      <c r="GT32" s="261"/>
      <c r="GU32" s="261"/>
      <c r="GV32" s="261"/>
      <c r="GW32" s="261"/>
      <c r="GX32" s="261"/>
      <c r="GY32" s="261"/>
      <c r="GZ32" s="261"/>
      <c r="HA32" s="261"/>
      <c r="HB32" s="261"/>
      <c r="HC32" s="261"/>
      <c r="HD32" s="261"/>
      <c r="HE32" s="261"/>
      <c r="HF32" s="261"/>
      <c r="HG32" s="261"/>
      <c r="HH32" s="261"/>
      <c r="HI32" s="261"/>
      <c r="HJ32" s="261"/>
      <c r="HK32" s="261"/>
      <c r="HL32" s="261"/>
      <c r="HM32" s="261"/>
      <c r="HN32" s="261"/>
      <c r="HO32" s="261"/>
      <c r="HP32" s="261"/>
      <c r="HQ32" s="261"/>
      <c r="HR32" s="261"/>
      <c r="HS32" s="261"/>
      <c r="HT32" s="261"/>
      <c r="HU32" s="261"/>
      <c r="HV32" s="261"/>
      <c r="HW32" s="261"/>
      <c r="HX32" s="261"/>
      <c r="HY32" s="261"/>
      <c r="HZ32" s="261"/>
      <c r="IA32" s="261"/>
      <c r="IB32" s="261"/>
      <c r="IC32" s="261"/>
      <c r="ID32" s="261"/>
      <c r="IE32" s="261"/>
      <c r="IF32" s="261"/>
      <c r="IG32" s="261"/>
      <c r="IH32" s="261"/>
      <c r="II32" s="261"/>
      <c r="IJ32" s="261"/>
      <c r="IK32" s="261"/>
      <c r="IL32" s="261"/>
      <c r="IM32" s="261"/>
      <c r="IN32" s="261"/>
      <c r="IO32" s="261"/>
      <c r="IP32" s="261"/>
      <c r="IQ32" s="261"/>
      <c r="IR32" s="261"/>
      <c r="IS32" s="261"/>
      <c r="IT32" s="261"/>
      <c r="IU32" s="261"/>
      <c r="IV32" s="261"/>
      <c r="IW32" s="261"/>
      <c r="IX32" s="261"/>
      <c r="IY32" s="261"/>
      <c r="IZ32" s="261"/>
      <c r="JA32" s="261"/>
      <c r="JB32" s="261"/>
      <c r="JC32" s="261"/>
      <c r="JD32" s="261"/>
      <c r="JE32" s="261"/>
      <c r="JF32" s="261"/>
      <c r="JG32" s="261"/>
      <c r="JH32" s="261"/>
      <c r="JI32" s="261"/>
      <c r="JJ32" s="261"/>
      <c r="JK32" s="261"/>
      <c r="JL32" s="261"/>
      <c r="JM32" s="261"/>
      <c r="JN32" s="261"/>
      <c r="JO32" s="261"/>
      <c r="JP32" s="261"/>
      <c r="JQ32" s="261"/>
      <c r="JR32" s="261"/>
      <c r="JS32" s="261"/>
      <c r="JT32" s="261"/>
      <c r="JU32" s="261"/>
      <c r="JV32" s="261"/>
      <c r="JW32" s="261"/>
      <c r="JX32" s="261"/>
      <c r="JY32" s="261"/>
      <c r="JZ32" s="261"/>
      <c r="KA32" s="261"/>
      <c r="KB32" s="261"/>
      <c r="KC32" s="261"/>
      <c r="KD32" s="261"/>
      <c r="KE32" s="261"/>
      <c r="KF32" s="261"/>
      <c r="KG32" s="261"/>
      <c r="KH32" s="261"/>
      <c r="KI32" s="261"/>
      <c r="KJ32" s="261"/>
      <c r="KK32" s="261"/>
      <c r="KL32" s="261"/>
      <c r="KM32" s="261"/>
      <c r="KN32" s="261"/>
      <c r="KO32" s="261"/>
      <c r="KP32" s="261"/>
      <c r="KQ32" s="261"/>
      <c r="KR32" s="261"/>
      <c r="KS32" s="261"/>
      <c r="KT32" s="261"/>
      <c r="KU32" s="261"/>
      <c r="KV32" s="261"/>
      <c r="KW32" s="261"/>
      <c r="KX32" s="261"/>
      <c r="KY32" s="261"/>
      <c r="KZ32" s="261"/>
      <c r="LA32" s="261"/>
      <c r="LB32" s="261"/>
      <c r="LC32" s="261"/>
      <c r="LD32" s="261"/>
      <c r="LE32" s="261"/>
      <c r="LF32" s="261"/>
      <c r="LG32" s="261"/>
      <c r="LH32" s="261"/>
      <c r="LI32" s="261"/>
      <c r="LJ32" s="261"/>
      <c r="LK32" s="261"/>
      <c r="LL32" s="261"/>
      <c r="LM32" s="261"/>
      <c r="LN32" s="261"/>
      <c r="LO32" s="261"/>
      <c r="LP32" s="261"/>
      <c r="LQ32" s="261"/>
      <c r="LR32" s="261"/>
      <c r="LS32" s="261"/>
      <c r="LT32" s="261"/>
      <c r="LU32" s="261"/>
      <c r="LV32" s="261"/>
      <c r="LW32" s="261"/>
      <c r="LX32" s="261"/>
      <c r="LY32" s="261"/>
      <c r="LZ32" s="261"/>
      <c r="MA32" s="261"/>
      <c r="MB32" s="261"/>
      <c r="MC32" s="261"/>
      <c r="MD32" s="261"/>
      <c r="ME32" s="261"/>
      <c r="MF32" s="261"/>
      <c r="MG32" s="261"/>
      <c r="MH32" s="261"/>
      <c r="MI32" s="261"/>
      <c r="MJ32" s="261"/>
      <c r="MK32" s="261"/>
      <c r="ML32" s="261"/>
      <c r="MM32" s="261"/>
      <c r="MN32" s="261"/>
      <c r="MO32" s="261"/>
      <c r="MP32" s="261"/>
      <c r="MQ32" s="261"/>
      <c r="MR32" s="261"/>
      <c r="MS32" s="261"/>
      <c r="MT32" s="261"/>
      <c r="MU32" s="261"/>
      <c r="MV32" s="261"/>
      <c r="MW32" s="261"/>
      <c r="MX32" s="261"/>
      <c r="MY32" s="261"/>
      <c r="MZ32" s="261"/>
      <c r="NA32" s="261"/>
      <c r="NB32" s="261"/>
      <c r="NC32" s="261"/>
      <c r="ND32" s="261"/>
      <c r="NE32" s="261"/>
      <c r="NF32" s="261"/>
      <c r="NG32" s="261"/>
      <c r="NH32" s="261"/>
      <c r="NI32" s="261"/>
      <c r="NJ32" s="261"/>
      <c r="NK32" s="261"/>
      <c r="NL32" s="261"/>
      <c r="NM32" s="261"/>
      <c r="NN32" s="261"/>
      <c r="NO32" s="261"/>
      <c r="NP32" s="261"/>
      <c r="NQ32" s="261"/>
      <c r="NR32" s="261"/>
      <c r="NS32" s="261"/>
      <c r="NT32" s="261"/>
      <c r="NU32" s="261"/>
      <c r="NV32" s="261"/>
      <c r="NW32" s="261"/>
      <c r="NX32" s="261"/>
      <c r="NY32" s="261"/>
      <c r="NZ32" s="261"/>
      <c r="OA32" s="261"/>
      <c r="OB32" s="261"/>
      <c r="OC32" s="261"/>
      <c r="OD32" s="261"/>
      <c r="OE32" s="261"/>
      <c r="OF32" s="261"/>
      <c r="OG32" s="261"/>
      <c r="OH32" s="261"/>
      <c r="OI32" s="261"/>
      <c r="OJ32" s="261"/>
      <c r="OK32" s="261"/>
      <c r="OL32" s="261"/>
      <c r="OM32" s="261"/>
      <c r="ON32" s="261"/>
      <c r="OO32" s="261"/>
      <c r="OP32" s="261"/>
      <c r="OQ32" s="261"/>
      <c r="OR32" s="261"/>
      <c r="OS32" s="261"/>
      <c r="OT32" s="261"/>
      <c r="OU32" s="261"/>
      <c r="OV32" s="261"/>
      <c r="OW32" s="261"/>
      <c r="OX32" s="261"/>
      <c r="OY32" s="261"/>
      <c r="OZ32" s="261"/>
      <c r="PA32" s="261"/>
      <c r="PB32" s="261"/>
      <c r="PC32" s="261"/>
      <c r="PD32" s="261"/>
      <c r="PE32" s="261"/>
      <c r="PF32" s="261"/>
      <c r="PG32" s="261"/>
      <c r="PH32" s="261"/>
      <c r="PI32" s="261"/>
      <c r="PJ32" s="261"/>
      <c r="PK32" s="261"/>
      <c r="PL32" s="261"/>
      <c r="PM32" s="261"/>
      <c r="PN32" s="261"/>
      <c r="PO32" s="261"/>
      <c r="PP32" s="261"/>
      <c r="PQ32" s="261"/>
      <c r="PR32" s="261"/>
      <c r="PS32" s="261"/>
      <c r="PT32" s="261"/>
      <c r="PU32" s="261"/>
      <c r="PV32" s="261"/>
      <c r="PW32" s="261"/>
      <c r="PX32" s="261"/>
      <c r="PY32" s="261"/>
      <c r="PZ32" s="261"/>
      <c r="QA32" s="261"/>
      <c r="QB32" s="261"/>
      <c r="QC32" s="261"/>
      <c r="QD32" s="261"/>
      <c r="QE32" s="261"/>
      <c r="QF32" s="261"/>
      <c r="QG32" s="261"/>
      <c r="QH32" s="261"/>
      <c r="QI32" s="261"/>
      <c r="QJ32" s="261"/>
      <c r="QK32" s="261"/>
      <c r="QL32" s="261"/>
      <c r="QM32" s="261"/>
      <c r="QN32" s="261"/>
      <c r="QO32" s="261"/>
      <c r="QP32" s="261"/>
      <c r="QQ32" s="261"/>
      <c r="QR32" s="261"/>
      <c r="QS32" s="261"/>
      <c r="QT32" s="261"/>
      <c r="QU32" s="261"/>
      <c r="QV32" s="261"/>
      <c r="QW32" s="261"/>
      <c r="QX32" s="261"/>
      <c r="QY32" s="261"/>
      <c r="QZ32" s="261"/>
      <c r="RA32" s="261"/>
      <c r="RB32" s="261"/>
      <c r="RC32" s="261"/>
      <c r="RD32" s="261"/>
      <c r="RE32" s="261"/>
      <c r="RF32" s="261"/>
      <c r="RG32" s="261"/>
      <c r="RH32" s="261"/>
      <c r="RI32" s="261"/>
      <c r="RJ32" s="261"/>
      <c r="RK32" s="261"/>
      <c r="RL32" s="261"/>
      <c r="RM32" s="261"/>
      <c r="RN32" s="261"/>
      <c r="RO32" s="261"/>
      <c r="RP32" s="261"/>
      <c r="RQ32" s="261"/>
      <c r="RR32" s="261"/>
      <c r="RS32" s="261"/>
      <c r="RT32" s="261"/>
      <c r="RU32" s="261"/>
      <c r="RV32" s="261"/>
      <c r="RW32" s="261"/>
      <c r="RX32" s="261"/>
      <c r="RY32" s="261"/>
    </row>
    <row r="33" spans="39:70" s="217" customFormat="1">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row>
    <row r="34" spans="39:70" s="217" customFormat="1">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row>
    <row r="35" spans="39:70" s="217" customFormat="1">
      <c r="AM35" s="265"/>
      <c r="AN35" s="265"/>
      <c r="AO35" s="265"/>
      <c r="AP35" s="265"/>
      <c r="AQ35" s="265"/>
      <c r="AR35" s="265"/>
      <c r="AS35" s="265"/>
      <c r="AT35" s="265"/>
      <c r="AU35" s="265"/>
      <c r="AV35" s="265"/>
      <c r="AW35" s="269"/>
      <c r="AX35" s="269"/>
      <c r="AY35" s="269"/>
      <c r="AZ35" s="269"/>
      <c r="BA35" s="265"/>
      <c r="BB35" s="265"/>
      <c r="BC35" s="265"/>
      <c r="BD35" s="265"/>
      <c r="BE35" s="265"/>
      <c r="BF35" s="265"/>
      <c r="BG35" s="265"/>
      <c r="BH35" s="265"/>
      <c r="BI35" s="265"/>
      <c r="BJ35" s="265"/>
      <c r="BK35" s="265"/>
      <c r="BL35" s="265"/>
      <c r="BM35" s="265"/>
      <c r="BN35" s="265"/>
      <c r="BO35" s="265"/>
      <c r="BP35" s="265"/>
      <c r="BQ35" s="265"/>
      <c r="BR35" s="265"/>
    </row>
    <row r="36" spans="39:70" s="217" customFormat="1">
      <c r="AM36" s="265"/>
      <c r="AN36" s="265"/>
      <c r="AO36" s="265"/>
      <c r="AP36" s="265"/>
      <c r="AQ36" s="265"/>
      <c r="AR36" s="265"/>
      <c r="AS36" s="265"/>
      <c r="AT36" s="265"/>
      <c r="AU36" s="265"/>
      <c r="AV36" s="265"/>
      <c r="AW36" s="269"/>
      <c r="AX36" s="269"/>
      <c r="AY36" s="269"/>
      <c r="AZ36" s="269"/>
      <c r="BA36" s="265"/>
      <c r="BB36" s="265"/>
      <c r="BC36" s="265"/>
      <c r="BD36" s="265"/>
      <c r="BE36" s="265"/>
      <c r="BF36" s="265"/>
      <c r="BG36" s="265"/>
      <c r="BH36" s="265"/>
      <c r="BI36" s="265"/>
      <c r="BJ36" s="265"/>
      <c r="BK36" s="265"/>
      <c r="BL36" s="265"/>
      <c r="BM36" s="265"/>
      <c r="BN36" s="265"/>
      <c r="BO36" s="265"/>
      <c r="BP36" s="265"/>
      <c r="BQ36" s="265"/>
      <c r="BR36" s="265"/>
    </row>
    <row r="37" spans="39:70" s="217" customFormat="1">
      <c r="AM37" s="265"/>
      <c r="AN37" s="265"/>
      <c r="AO37" s="265"/>
      <c r="AP37" s="265"/>
      <c r="AQ37" s="265"/>
      <c r="AR37" s="265"/>
      <c r="AS37" s="265"/>
      <c r="AT37" s="265"/>
      <c r="AU37" s="265"/>
      <c r="AV37" s="265"/>
      <c r="AW37" s="269"/>
      <c r="AX37" s="269"/>
      <c r="AY37" s="269"/>
      <c r="AZ37" s="269"/>
      <c r="BA37" s="265"/>
      <c r="BB37" s="265"/>
      <c r="BC37" s="265"/>
      <c r="BD37" s="265"/>
      <c r="BE37" s="265"/>
      <c r="BF37" s="265"/>
      <c r="BG37" s="265"/>
      <c r="BH37" s="265"/>
      <c r="BI37" s="265"/>
      <c r="BJ37" s="265"/>
      <c r="BK37" s="265"/>
      <c r="BL37" s="265"/>
      <c r="BM37" s="265"/>
      <c r="BN37" s="265"/>
      <c r="BO37" s="265"/>
      <c r="BP37" s="265"/>
      <c r="BQ37" s="265"/>
      <c r="BR37" s="265"/>
    </row>
    <row r="38" spans="39:70" s="217" customFormat="1">
      <c r="AM38" s="265"/>
      <c r="AN38" s="265"/>
      <c r="AO38" s="265"/>
      <c r="AP38" s="265"/>
      <c r="AQ38" s="265"/>
      <c r="AR38" s="265"/>
      <c r="AS38" s="265"/>
      <c r="AT38" s="265"/>
      <c r="AU38" s="265"/>
      <c r="AV38" s="265"/>
      <c r="AW38" s="269"/>
      <c r="AX38" s="269"/>
      <c r="AY38" s="269"/>
      <c r="AZ38" s="269"/>
      <c r="BA38" s="265"/>
      <c r="BB38" s="265"/>
      <c r="BC38" s="265"/>
      <c r="BD38" s="265"/>
      <c r="BE38" s="265"/>
      <c r="BF38" s="265"/>
      <c r="BG38" s="265"/>
      <c r="BH38" s="265"/>
      <c r="BI38" s="265"/>
      <c r="BJ38" s="265"/>
      <c r="BK38" s="265"/>
      <c r="BL38" s="265"/>
      <c r="BM38" s="265"/>
      <c r="BN38" s="265"/>
      <c r="BO38" s="265"/>
      <c r="BP38" s="265"/>
      <c r="BQ38" s="265"/>
      <c r="BR38" s="265"/>
    </row>
    <row r="39" spans="39:70" s="217" customFormat="1">
      <c r="AM39" s="265"/>
      <c r="AN39" s="265"/>
      <c r="AO39" s="265"/>
      <c r="AP39" s="265"/>
      <c r="AQ39" s="265"/>
      <c r="AR39" s="265"/>
      <c r="AS39" s="265"/>
      <c r="AT39" s="265"/>
      <c r="AU39" s="265"/>
      <c r="AV39" s="265"/>
      <c r="AW39" s="269"/>
      <c r="AX39" s="269"/>
      <c r="AY39" s="269"/>
      <c r="AZ39" s="269"/>
      <c r="BA39" s="265"/>
      <c r="BB39" s="265"/>
      <c r="BC39" s="265"/>
      <c r="BD39" s="265"/>
      <c r="BE39" s="265"/>
      <c r="BF39" s="265"/>
      <c r="BG39" s="265"/>
      <c r="BH39" s="265"/>
      <c r="BI39" s="265"/>
      <c r="BJ39" s="265"/>
      <c r="BK39" s="265"/>
      <c r="BL39" s="265"/>
      <c r="BM39" s="265"/>
      <c r="BN39" s="265"/>
      <c r="BO39" s="265"/>
      <c r="BP39" s="265"/>
      <c r="BQ39" s="265"/>
      <c r="BR39" s="265"/>
    </row>
    <row r="40" spans="39:70" s="217" customFormat="1">
      <c r="AM40" s="265"/>
      <c r="AN40" s="265"/>
      <c r="AO40" s="265"/>
      <c r="AP40" s="265"/>
      <c r="AQ40" s="265"/>
      <c r="AR40" s="265"/>
      <c r="AS40" s="265"/>
      <c r="AT40" s="265"/>
      <c r="AU40" s="265"/>
      <c r="AV40" s="265"/>
      <c r="AW40" s="269"/>
      <c r="AX40" s="269"/>
      <c r="AY40" s="269"/>
      <c r="AZ40" s="269"/>
      <c r="BA40" s="265"/>
      <c r="BB40" s="265"/>
      <c r="BC40" s="265"/>
      <c r="BD40" s="265"/>
      <c r="BE40" s="265"/>
      <c r="BF40" s="265"/>
      <c r="BG40" s="265"/>
      <c r="BH40" s="265"/>
      <c r="BI40" s="265"/>
      <c r="BJ40" s="265"/>
      <c r="BK40" s="265"/>
      <c r="BL40" s="265"/>
      <c r="BM40" s="265"/>
      <c r="BN40" s="265"/>
      <c r="BO40" s="265"/>
      <c r="BP40" s="265"/>
      <c r="BQ40" s="265"/>
      <c r="BR40" s="265"/>
    </row>
    <row r="41" spans="39:70" s="217" customFormat="1">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row>
    <row r="42" spans="39:70" s="217" customFormat="1">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row>
    <row r="43" spans="39:70" s="217" customFormat="1">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row>
    <row r="44" spans="39:70" s="217" customFormat="1">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row>
    <row r="45" spans="39:70" s="217" customFormat="1">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row>
    <row r="46" spans="39:70" s="217" customFormat="1">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row>
    <row r="47" spans="39:70" s="217" customFormat="1">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5"/>
      <c r="BR47" s="265"/>
    </row>
    <row r="48" spans="39:70" s="217" customFormat="1">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row>
    <row r="49" spans="39:70" s="217" customFormat="1">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5"/>
      <c r="BR49" s="265"/>
    </row>
    <row r="50" spans="39:70" s="217" customFormat="1">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5"/>
      <c r="BR50" s="265"/>
    </row>
    <row r="51" spans="39:70" s="217" customFormat="1">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5"/>
      <c r="BR51" s="265"/>
    </row>
    <row r="52" spans="39:70" s="217" customFormat="1">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5"/>
      <c r="BR52" s="265"/>
    </row>
    <row r="53" spans="39:70" s="217" customFormat="1">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5"/>
      <c r="BR53" s="265"/>
    </row>
    <row r="54" spans="39:70" s="217" customFormat="1">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5"/>
      <c r="BQ54" s="265"/>
      <c r="BR54" s="265"/>
    </row>
    <row r="55" spans="39:70" s="217" customFormat="1">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c r="BQ55" s="265"/>
      <c r="BR55" s="265"/>
    </row>
    <row r="56" spans="39:70" s="217" customFormat="1">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c r="BK56" s="265"/>
      <c r="BL56" s="265"/>
      <c r="BM56" s="265"/>
      <c r="BN56" s="265"/>
      <c r="BO56" s="265"/>
      <c r="BP56" s="265"/>
      <c r="BQ56" s="265"/>
      <c r="BR56" s="265"/>
    </row>
    <row r="57" spans="39:70" s="217" customFormat="1">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5"/>
      <c r="BR57" s="265"/>
    </row>
    <row r="58" spans="39:70" s="217" customFormat="1">
      <c r="AM58" s="265"/>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5"/>
      <c r="BR58" s="265"/>
    </row>
    <row r="59" spans="39:70" s="217" customFormat="1">
      <c r="AM59" s="265"/>
      <c r="AN59" s="265"/>
      <c r="AO59" s="265"/>
      <c r="AP59" s="265"/>
      <c r="AQ59" s="265"/>
      <c r="AR59" s="265"/>
      <c r="AS59" s="265"/>
      <c r="AT59" s="265"/>
      <c r="AU59" s="265"/>
      <c r="AV59" s="265"/>
      <c r="AW59" s="265"/>
      <c r="AX59" s="265"/>
      <c r="AY59" s="265"/>
      <c r="AZ59" s="265"/>
      <c r="BA59" s="265"/>
      <c r="BB59" s="265"/>
      <c r="BC59" s="265"/>
      <c r="BD59" s="265"/>
      <c r="BE59" s="265"/>
      <c r="BF59" s="265"/>
      <c r="BG59" s="265"/>
      <c r="BH59" s="265"/>
      <c r="BI59" s="265"/>
      <c r="BJ59" s="265"/>
      <c r="BK59" s="265"/>
      <c r="BL59" s="265"/>
      <c r="BM59" s="265"/>
      <c r="BN59" s="265"/>
      <c r="BO59" s="265"/>
      <c r="BP59" s="265"/>
      <c r="BQ59" s="265"/>
      <c r="BR59" s="265"/>
    </row>
    <row r="60" spans="39:70" s="217" customFormat="1">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c r="BK60" s="265"/>
      <c r="BL60" s="265"/>
      <c r="BM60" s="265"/>
      <c r="BN60" s="265"/>
      <c r="BO60" s="265"/>
      <c r="BP60" s="265"/>
      <c r="BQ60" s="265"/>
      <c r="BR60" s="265"/>
    </row>
    <row r="61" spans="39:70" s="217" customFormat="1">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5"/>
      <c r="BI61" s="265"/>
      <c r="BJ61" s="265"/>
      <c r="BK61" s="265"/>
      <c r="BL61" s="265"/>
      <c r="BM61" s="265"/>
      <c r="BN61" s="265"/>
      <c r="BO61" s="265"/>
      <c r="BP61" s="265"/>
      <c r="BQ61" s="265"/>
      <c r="BR61" s="265"/>
    </row>
    <row r="62" spans="39:70" s="217" customFormat="1">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c r="BK62" s="265"/>
      <c r="BL62" s="265"/>
      <c r="BM62" s="265"/>
      <c r="BN62" s="265"/>
      <c r="BO62" s="265"/>
      <c r="BP62" s="265"/>
      <c r="BQ62" s="265"/>
      <c r="BR62" s="265"/>
    </row>
    <row r="63" spans="39:70" s="217" customFormat="1">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c r="BQ63" s="265"/>
      <c r="BR63" s="265"/>
    </row>
    <row r="64" spans="39:70" s="217" customFormat="1">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5"/>
      <c r="BR64" s="265"/>
    </row>
    <row r="65" spans="39:70" s="217" customFormat="1">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5"/>
      <c r="BR65" s="265"/>
    </row>
    <row r="66" spans="39:70" s="217" customFormat="1">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c r="BQ66" s="265"/>
      <c r="BR66" s="265"/>
    </row>
    <row r="67" spans="39:70" s="217" customFormat="1">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row>
    <row r="68" spans="39:70" s="217" customFormat="1">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c r="BK68" s="265"/>
      <c r="BL68" s="265"/>
      <c r="BM68" s="265"/>
      <c r="BN68" s="265"/>
      <c r="BO68" s="265"/>
      <c r="BP68" s="265"/>
      <c r="BQ68" s="265"/>
      <c r="BR68" s="265"/>
    </row>
    <row r="69" spans="39:70" s="217" customFormat="1">
      <c r="AM69" s="265"/>
      <c r="AN69" s="265"/>
      <c r="AO69" s="265"/>
      <c r="AP69" s="265"/>
      <c r="AQ69" s="265"/>
      <c r="AR69" s="265"/>
      <c r="AS69" s="265"/>
      <c r="AT69" s="265"/>
      <c r="AU69" s="265"/>
      <c r="AV69" s="265"/>
      <c r="AW69" s="265"/>
      <c r="AX69" s="265"/>
      <c r="AY69" s="265"/>
      <c r="AZ69" s="265"/>
      <c r="BA69" s="265"/>
      <c r="BB69" s="265"/>
      <c r="BC69" s="265"/>
      <c r="BD69" s="265"/>
      <c r="BE69" s="265"/>
      <c r="BF69" s="265"/>
      <c r="BG69" s="265"/>
      <c r="BH69" s="265"/>
      <c r="BI69" s="265"/>
      <c r="BJ69" s="265"/>
      <c r="BK69" s="265"/>
      <c r="BL69" s="265"/>
      <c r="BM69" s="265"/>
      <c r="BN69" s="265"/>
      <c r="BO69" s="265"/>
      <c r="BP69" s="265"/>
      <c r="BQ69" s="265"/>
      <c r="BR69" s="265"/>
    </row>
    <row r="70" spans="39:70" s="217" customFormat="1">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c r="BK70" s="265"/>
      <c r="BL70" s="265"/>
      <c r="BM70" s="265"/>
      <c r="BN70" s="265"/>
      <c r="BO70" s="265"/>
      <c r="BP70" s="265"/>
      <c r="BQ70" s="265"/>
      <c r="BR70" s="265"/>
    </row>
    <row r="71" spans="39:70" s="217" customFormat="1">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65"/>
      <c r="BM71" s="265"/>
      <c r="BN71" s="265"/>
      <c r="BO71" s="265"/>
      <c r="BP71" s="265"/>
      <c r="BQ71" s="265"/>
      <c r="BR71" s="265"/>
    </row>
    <row r="72" spans="39:70" s="217" customFormat="1">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5"/>
      <c r="BJ72" s="265"/>
      <c r="BK72" s="265"/>
      <c r="BL72" s="265"/>
      <c r="BM72" s="265"/>
      <c r="BN72" s="265"/>
      <c r="BO72" s="265"/>
      <c r="BP72" s="265"/>
      <c r="BQ72" s="265"/>
      <c r="BR72" s="265"/>
    </row>
    <row r="73" spans="39:70" s="217" customFormat="1">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row>
    <row r="74" spans="39:70" s="217" customFormat="1">
      <c r="AM74" s="265"/>
      <c r="AN74" s="265"/>
      <c r="AO74" s="265"/>
      <c r="AP74" s="265"/>
      <c r="AQ74" s="265"/>
      <c r="AR74" s="265"/>
      <c r="AS74" s="265"/>
      <c r="AT74" s="265"/>
      <c r="AU74" s="265"/>
      <c r="AV74" s="265"/>
      <c r="AW74" s="265"/>
      <c r="AX74" s="265"/>
      <c r="AY74" s="265"/>
      <c r="AZ74" s="265"/>
      <c r="BA74" s="265"/>
      <c r="BB74" s="265"/>
      <c r="BC74" s="265"/>
      <c r="BD74" s="265"/>
      <c r="BE74" s="265"/>
      <c r="BF74" s="265"/>
      <c r="BG74" s="265"/>
      <c r="BH74" s="265"/>
      <c r="BI74" s="265"/>
      <c r="BJ74" s="265"/>
      <c r="BK74" s="265"/>
      <c r="BL74" s="265"/>
      <c r="BM74" s="265"/>
      <c r="BN74" s="265"/>
      <c r="BO74" s="265"/>
      <c r="BP74" s="265"/>
      <c r="BQ74" s="265"/>
      <c r="BR74" s="265"/>
    </row>
    <row r="75" spans="39:70" s="217" customFormat="1">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5"/>
      <c r="BJ75" s="265"/>
      <c r="BK75" s="265"/>
      <c r="BL75" s="265"/>
      <c r="BM75" s="265"/>
      <c r="BN75" s="265"/>
      <c r="BO75" s="265"/>
      <c r="BP75" s="265"/>
      <c r="BQ75" s="265"/>
      <c r="BR75" s="265"/>
    </row>
    <row r="76" spans="39:70" s="217" customFormat="1">
      <c r="AM76" s="265"/>
      <c r="AN76" s="265"/>
      <c r="AO76" s="265"/>
      <c r="AP76" s="265"/>
      <c r="AQ76" s="265"/>
      <c r="AR76" s="265"/>
      <c r="AS76" s="265"/>
      <c r="AT76" s="265"/>
      <c r="AU76" s="265"/>
      <c r="AV76" s="265"/>
      <c r="AW76" s="265"/>
      <c r="AX76" s="265"/>
      <c r="AY76" s="265"/>
      <c r="AZ76" s="265"/>
      <c r="BA76" s="265"/>
      <c r="BB76" s="265"/>
      <c r="BC76" s="265"/>
      <c r="BD76" s="265"/>
      <c r="BE76" s="265"/>
      <c r="BF76" s="265"/>
      <c r="BG76" s="265"/>
      <c r="BH76" s="265"/>
      <c r="BI76" s="265"/>
      <c r="BJ76" s="265"/>
      <c r="BK76" s="265"/>
      <c r="BL76" s="265"/>
      <c r="BM76" s="265"/>
      <c r="BN76" s="265"/>
      <c r="BO76" s="265"/>
      <c r="BP76" s="265"/>
      <c r="BQ76" s="265"/>
      <c r="BR76" s="265"/>
    </row>
    <row r="77" spans="39:70" s="217" customFormat="1">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c r="BK77" s="265"/>
      <c r="BL77" s="265"/>
      <c r="BM77" s="265"/>
      <c r="BN77" s="265"/>
      <c r="BO77" s="265"/>
      <c r="BP77" s="265"/>
      <c r="BQ77" s="265"/>
      <c r="BR77" s="265"/>
    </row>
    <row r="78" spans="39:70" s="217" customFormat="1">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c r="BK78" s="265"/>
      <c r="BL78" s="265"/>
      <c r="BM78" s="265"/>
      <c r="BN78" s="265"/>
      <c r="BO78" s="265"/>
      <c r="BP78" s="265"/>
      <c r="BQ78" s="265"/>
      <c r="BR78" s="265"/>
    </row>
    <row r="79" spans="39:70" s="217" customFormat="1">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c r="BJ79" s="265"/>
      <c r="BK79" s="265"/>
      <c r="BL79" s="265"/>
      <c r="BM79" s="265"/>
      <c r="BN79" s="265"/>
      <c r="BO79" s="265"/>
      <c r="BP79" s="265"/>
      <c r="BQ79" s="265"/>
      <c r="BR79" s="265"/>
    </row>
    <row r="80" spans="39:70" s="217" customFormat="1">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c r="BJ80" s="265"/>
      <c r="BK80" s="265"/>
      <c r="BL80" s="265"/>
      <c r="BM80" s="265"/>
      <c r="BN80" s="265"/>
      <c r="BO80" s="265"/>
      <c r="BP80" s="265"/>
      <c r="BQ80" s="265"/>
      <c r="BR80" s="265"/>
    </row>
    <row r="81" spans="39:70" s="217" customFormat="1">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M81" s="265"/>
      <c r="BN81" s="265"/>
      <c r="BO81" s="265"/>
      <c r="BP81" s="265"/>
      <c r="BQ81" s="265"/>
      <c r="BR81" s="265"/>
    </row>
    <row r="82" spans="39:70" s="217" customFormat="1">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65"/>
      <c r="BO82" s="265"/>
      <c r="BP82" s="265"/>
      <c r="BQ82" s="265"/>
      <c r="BR82" s="265"/>
    </row>
    <row r="83" spans="39:70" s="217" customFormat="1">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c r="BQ83" s="265"/>
      <c r="BR83" s="265"/>
    </row>
    <row r="84" spans="39:70" s="217" customFormat="1">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265"/>
      <c r="BP84" s="265"/>
      <c r="BQ84" s="265"/>
      <c r="BR84" s="265"/>
    </row>
    <row r="85" spans="39:70" s="217" customFormat="1">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5"/>
      <c r="BJ85" s="265"/>
      <c r="BK85" s="265"/>
      <c r="BL85" s="265"/>
      <c r="BM85" s="265"/>
      <c r="BN85" s="265"/>
      <c r="BO85" s="265"/>
      <c r="BP85" s="265"/>
      <c r="BQ85" s="265"/>
      <c r="BR85" s="265"/>
    </row>
    <row r="86" spans="39:70" s="217" customFormat="1">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5"/>
      <c r="BJ86" s="265"/>
      <c r="BK86" s="265"/>
      <c r="BL86" s="265"/>
      <c r="BM86" s="265"/>
      <c r="BN86" s="265"/>
      <c r="BO86" s="265"/>
      <c r="BP86" s="265"/>
      <c r="BQ86" s="265"/>
      <c r="BR86" s="265"/>
    </row>
    <row r="87" spans="39:70" s="217" customFormat="1">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c r="BK87" s="265"/>
      <c r="BL87" s="265"/>
      <c r="BM87" s="265"/>
      <c r="BN87" s="265"/>
      <c r="BO87" s="265"/>
      <c r="BP87" s="265"/>
      <c r="BQ87" s="265"/>
      <c r="BR87" s="265"/>
    </row>
    <row r="88" spans="39:70" s="217" customFormat="1">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5"/>
      <c r="BJ88" s="265"/>
      <c r="BK88" s="265"/>
      <c r="BL88" s="265"/>
      <c r="BM88" s="265"/>
      <c r="BN88" s="265"/>
      <c r="BO88" s="265"/>
      <c r="BP88" s="265"/>
      <c r="BQ88" s="265"/>
      <c r="BR88" s="265"/>
    </row>
    <row r="89" spans="39:70" s="217" customFormat="1">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5"/>
      <c r="BR89" s="265"/>
    </row>
    <row r="90" spans="39:70" s="217" customFormat="1">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5"/>
      <c r="BN90" s="265"/>
      <c r="BO90" s="265"/>
      <c r="BP90" s="265"/>
      <c r="BQ90" s="265"/>
      <c r="BR90" s="265"/>
    </row>
    <row r="91" spans="39:70" s="217" customFormat="1">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5"/>
      <c r="BJ91" s="265"/>
      <c r="BK91" s="265"/>
      <c r="BL91" s="265"/>
      <c r="BM91" s="265"/>
      <c r="BN91" s="265"/>
      <c r="BO91" s="265"/>
      <c r="BP91" s="265"/>
      <c r="BQ91" s="265"/>
      <c r="BR91" s="265"/>
    </row>
    <row r="92" spans="39:70" s="217" customFormat="1">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5"/>
      <c r="BJ92" s="265"/>
      <c r="BK92" s="265"/>
      <c r="BL92" s="265"/>
      <c r="BM92" s="265"/>
      <c r="BN92" s="265"/>
      <c r="BO92" s="265"/>
      <c r="BP92" s="265"/>
      <c r="BQ92" s="265"/>
      <c r="BR92" s="265"/>
    </row>
    <row r="93" spans="39:70" s="217" customFormat="1">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c r="BK93" s="265"/>
      <c r="BL93" s="265"/>
      <c r="BM93" s="265"/>
      <c r="BN93" s="265"/>
      <c r="BO93" s="265"/>
      <c r="BP93" s="265"/>
      <c r="BQ93" s="265"/>
      <c r="BR93" s="265"/>
    </row>
    <row r="94" spans="39:70" s="217" customFormat="1">
      <c r="AM94" s="265"/>
      <c r="AN94" s="265"/>
      <c r="AO94" s="265"/>
      <c r="AP94" s="265"/>
      <c r="AQ94" s="265"/>
      <c r="AR94" s="265"/>
      <c r="AS94" s="265"/>
      <c r="AT94" s="265"/>
      <c r="AU94" s="265"/>
      <c r="AV94" s="265"/>
      <c r="AW94" s="265"/>
      <c r="AX94" s="265"/>
      <c r="AY94" s="265"/>
      <c r="AZ94" s="265"/>
      <c r="BA94" s="265"/>
      <c r="BB94" s="265"/>
      <c r="BC94" s="265"/>
      <c r="BD94" s="265"/>
      <c r="BE94" s="265"/>
      <c r="BF94" s="265"/>
      <c r="BG94" s="265"/>
      <c r="BH94" s="265"/>
      <c r="BI94" s="265"/>
      <c r="BJ94" s="265"/>
      <c r="BK94" s="265"/>
      <c r="BL94" s="265"/>
      <c r="BM94" s="265"/>
      <c r="BN94" s="265"/>
      <c r="BO94" s="265"/>
      <c r="BP94" s="265"/>
      <c r="BQ94" s="265"/>
      <c r="BR94" s="265"/>
    </row>
    <row r="95" spans="39:70" s="217" customFormat="1">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row>
    <row r="96" spans="39:70" s="217" customFormat="1">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row>
    <row r="97" spans="39:70" s="217" customFormat="1">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c r="BQ97" s="265"/>
      <c r="BR97" s="265"/>
    </row>
    <row r="98" spans="39:70" s="217" customFormat="1">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c r="BK98" s="265"/>
      <c r="BL98" s="265"/>
      <c r="BM98" s="265"/>
      <c r="BN98" s="265"/>
      <c r="BO98" s="265"/>
      <c r="BP98" s="265"/>
      <c r="BQ98" s="265"/>
      <c r="BR98" s="265"/>
    </row>
    <row r="99" spans="39:70" s="217" customFormat="1">
      <c r="AM99" s="265"/>
      <c r="AN99" s="265"/>
      <c r="AO99" s="265"/>
      <c r="AP99" s="265"/>
      <c r="AQ99" s="265"/>
      <c r="AR99" s="265"/>
      <c r="AS99" s="265"/>
      <c r="AT99" s="265"/>
      <c r="AU99" s="265"/>
      <c r="AV99" s="265"/>
      <c r="AW99" s="265"/>
      <c r="AX99" s="265"/>
      <c r="AY99" s="265"/>
      <c r="AZ99" s="265"/>
      <c r="BA99" s="265"/>
      <c r="BB99" s="265"/>
      <c r="BC99" s="265"/>
      <c r="BD99" s="265"/>
      <c r="BE99" s="265"/>
      <c r="BF99" s="265"/>
      <c r="BG99" s="265"/>
      <c r="BH99" s="265"/>
      <c r="BI99" s="265"/>
      <c r="BJ99" s="265"/>
      <c r="BK99" s="265"/>
      <c r="BL99" s="265"/>
      <c r="BM99" s="265"/>
      <c r="BN99" s="265"/>
      <c r="BO99" s="265"/>
      <c r="BP99" s="265"/>
      <c r="BQ99" s="265"/>
      <c r="BR99" s="265"/>
    </row>
    <row r="100" spans="39:70" s="217" customFormat="1">
      <c r="AM100" s="265"/>
      <c r="AN100" s="265"/>
      <c r="AO100" s="265"/>
      <c r="AP100" s="265"/>
      <c r="AQ100" s="265"/>
      <c r="AR100" s="265"/>
      <c r="AS100" s="265"/>
      <c r="AT100" s="265"/>
      <c r="AU100" s="265"/>
      <c r="AV100" s="265"/>
      <c r="AW100" s="265"/>
      <c r="AX100" s="265"/>
      <c r="AY100" s="265"/>
      <c r="AZ100" s="265"/>
      <c r="BA100" s="265"/>
      <c r="BB100" s="265"/>
      <c r="BC100" s="265"/>
      <c r="BD100" s="265"/>
      <c r="BE100" s="265"/>
      <c r="BF100" s="265"/>
      <c r="BG100" s="265"/>
      <c r="BH100" s="265"/>
      <c r="BI100" s="265"/>
      <c r="BJ100" s="265"/>
      <c r="BK100" s="265"/>
      <c r="BL100" s="265"/>
      <c r="BM100" s="265"/>
      <c r="BN100" s="265"/>
      <c r="BO100" s="265"/>
      <c r="BP100" s="265"/>
      <c r="BQ100" s="265"/>
      <c r="BR100" s="265"/>
    </row>
    <row r="101" spans="39:70" s="217" customFormat="1">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row>
    <row r="102" spans="39:70" s="217" customFormat="1">
      <c r="AM102" s="265"/>
      <c r="AN102" s="265"/>
      <c r="AO102" s="265"/>
      <c r="AP102" s="265"/>
      <c r="AQ102" s="265"/>
      <c r="AR102" s="265"/>
      <c r="AS102" s="265"/>
      <c r="AT102" s="265"/>
      <c r="AU102" s="265"/>
      <c r="AV102" s="265"/>
      <c r="AW102" s="265"/>
      <c r="AX102" s="265"/>
      <c r="AY102" s="265"/>
      <c r="AZ102" s="265"/>
      <c r="BA102" s="265"/>
      <c r="BB102" s="265"/>
      <c r="BC102" s="265"/>
      <c r="BD102" s="265"/>
      <c r="BE102" s="265"/>
      <c r="BF102" s="265"/>
      <c r="BG102" s="265"/>
      <c r="BH102" s="265"/>
      <c r="BI102" s="265"/>
      <c r="BJ102" s="265"/>
      <c r="BK102" s="265"/>
      <c r="BL102" s="265"/>
      <c r="BM102" s="265"/>
      <c r="BN102" s="265"/>
      <c r="BO102" s="265"/>
      <c r="BP102" s="265"/>
      <c r="BQ102" s="265"/>
      <c r="BR102" s="265"/>
    </row>
    <row r="103" spans="39:70" s="217" customFormat="1">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row>
    <row r="104" spans="39:70" s="217" customFormat="1">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265"/>
      <c r="BJ104" s="265"/>
      <c r="BK104" s="265"/>
      <c r="BL104" s="265"/>
      <c r="BM104" s="265"/>
      <c r="BN104" s="265"/>
      <c r="BO104" s="265"/>
      <c r="BP104" s="265"/>
      <c r="BQ104" s="265"/>
      <c r="BR104" s="265"/>
    </row>
    <row r="105" spans="39:70" s="217" customFormat="1">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65"/>
    </row>
    <row r="106" spans="39:70" s="217" customFormat="1">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65"/>
      <c r="BR106" s="265"/>
    </row>
    <row r="107" spans="39:70" s="217" customFormat="1">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row>
    <row r="108" spans="39:70" s="217" customFormat="1">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c r="BQ108" s="265"/>
      <c r="BR108" s="265"/>
    </row>
    <row r="109" spans="39:70" s="217" customFormat="1">
      <c r="AM109" s="265"/>
      <c r="AN109" s="265"/>
      <c r="AO109" s="265"/>
      <c r="AP109" s="265"/>
      <c r="AQ109" s="265"/>
      <c r="AR109" s="265"/>
      <c r="AS109" s="265"/>
      <c r="AT109" s="265"/>
      <c r="AU109" s="265"/>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5"/>
      <c r="BQ109" s="265"/>
      <c r="BR109" s="265"/>
    </row>
    <row r="110" spans="39:70" s="217" customFormat="1">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5"/>
      <c r="BQ110" s="265"/>
      <c r="BR110" s="265"/>
    </row>
    <row r="111" spans="39:70" s="217" customFormat="1">
      <c r="AM111" s="265"/>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5"/>
      <c r="BQ111" s="265"/>
      <c r="BR111" s="265"/>
    </row>
    <row r="112" spans="39:70" s="217" customFormat="1">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c r="BQ112" s="265"/>
      <c r="BR112" s="265"/>
    </row>
    <row r="113" spans="39:70" s="217" customFormat="1">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c r="BQ113" s="265"/>
      <c r="BR113" s="265"/>
    </row>
    <row r="114" spans="39:70" s="217" customFormat="1">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5"/>
      <c r="BQ114" s="265"/>
      <c r="BR114" s="265"/>
    </row>
    <row r="115" spans="39:70" s="217" customFormat="1">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5"/>
      <c r="BR115" s="265"/>
    </row>
    <row r="116" spans="39:70" s="217" customFormat="1">
      <c r="AM116" s="265"/>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5"/>
      <c r="BJ116" s="265"/>
      <c r="BK116" s="265"/>
      <c r="BL116" s="265"/>
      <c r="BM116" s="265"/>
      <c r="BN116" s="265"/>
      <c r="BO116" s="265"/>
      <c r="BP116" s="265"/>
      <c r="BQ116" s="265"/>
      <c r="BR116" s="265"/>
    </row>
    <row r="117" spans="39:70" s="217" customFormat="1">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c r="BQ117" s="265"/>
      <c r="BR117" s="265"/>
    </row>
    <row r="118" spans="39:70" s="217" customFormat="1">
      <c r="AM118" s="265"/>
      <c r="AN118" s="265"/>
      <c r="AO118" s="265"/>
      <c r="AP118" s="265"/>
      <c r="AQ118" s="265"/>
      <c r="AR118" s="265"/>
      <c r="AS118" s="265"/>
      <c r="AT118" s="265"/>
      <c r="AU118" s="265"/>
      <c r="AV118" s="265"/>
      <c r="AW118" s="265"/>
      <c r="AX118" s="265"/>
      <c r="AY118" s="265"/>
      <c r="AZ118" s="265"/>
      <c r="BA118" s="265"/>
      <c r="BB118" s="265"/>
      <c r="BC118" s="265"/>
      <c r="BD118" s="265"/>
      <c r="BE118" s="265"/>
      <c r="BF118" s="265"/>
      <c r="BG118" s="265"/>
      <c r="BH118" s="265"/>
      <c r="BI118" s="265"/>
      <c r="BJ118" s="265"/>
      <c r="BK118" s="265"/>
      <c r="BL118" s="265"/>
      <c r="BM118" s="265"/>
      <c r="BN118" s="265"/>
      <c r="BO118" s="265"/>
      <c r="BP118" s="265"/>
      <c r="BQ118" s="265"/>
      <c r="BR118" s="265"/>
    </row>
    <row r="119" spans="39:70" s="217" customFormat="1">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c r="BQ119" s="265"/>
      <c r="BR119" s="265"/>
    </row>
    <row r="120" spans="39:70" s="217" customFormat="1">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c r="BP120" s="265"/>
      <c r="BQ120" s="265"/>
      <c r="BR120" s="265"/>
    </row>
    <row r="121" spans="39:70" s="217" customFormat="1">
      <c r="AM121" s="265"/>
      <c r="AN121" s="265"/>
      <c r="AO121" s="265"/>
      <c r="AP121" s="265"/>
      <c r="AQ121" s="265"/>
      <c r="AR121" s="265"/>
      <c r="AS121" s="265"/>
      <c r="AT121" s="265"/>
      <c r="AU121" s="265"/>
      <c r="AV121" s="265"/>
      <c r="AW121" s="265"/>
      <c r="AX121" s="265"/>
      <c r="AY121" s="265"/>
      <c r="AZ121" s="265"/>
      <c r="BA121" s="265"/>
      <c r="BB121" s="265"/>
      <c r="BC121" s="265"/>
      <c r="BD121" s="265"/>
      <c r="BE121" s="265"/>
      <c r="BF121" s="265"/>
      <c r="BG121" s="265"/>
      <c r="BH121" s="265"/>
      <c r="BI121" s="265"/>
      <c r="BJ121" s="265"/>
      <c r="BK121" s="265"/>
      <c r="BL121" s="265"/>
      <c r="BM121" s="265"/>
      <c r="BN121" s="265"/>
      <c r="BO121" s="265"/>
      <c r="BP121" s="265"/>
      <c r="BQ121" s="265"/>
      <c r="BR121" s="265"/>
    </row>
    <row r="122" spans="39:70" s="217" customFormat="1">
      <c r="AM122" s="265"/>
      <c r="AN122" s="265"/>
      <c r="AO122" s="265"/>
      <c r="AP122" s="265"/>
      <c r="AQ122" s="265"/>
      <c r="AR122" s="265"/>
      <c r="AS122" s="265"/>
      <c r="AT122" s="265"/>
      <c r="AU122" s="265"/>
      <c r="AV122" s="265"/>
      <c r="AW122" s="265"/>
      <c r="AX122" s="265"/>
      <c r="AY122" s="265"/>
      <c r="AZ122" s="265"/>
      <c r="BA122" s="265"/>
      <c r="BB122" s="265"/>
      <c r="BC122" s="265"/>
      <c r="BD122" s="265"/>
      <c r="BE122" s="265"/>
      <c r="BF122" s="265"/>
      <c r="BG122" s="265"/>
      <c r="BH122" s="265"/>
      <c r="BI122" s="265"/>
      <c r="BJ122" s="265"/>
      <c r="BK122" s="265"/>
      <c r="BL122" s="265"/>
      <c r="BM122" s="265"/>
      <c r="BN122" s="265"/>
      <c r="BO122" s="265"/>
      <c r="BP122" s="265"/>
      <c r="BQ122" s="265"/>
      <c r="BR122" s="265"/>
    </row>
    <row r="123" spans="39:70" s="217" customFormat="1">
      <c r="AM123" s="265"/>
      <c r="AN123" s="265"/>
      <c r="AO123" s="265"/>
      <c r="AP123" s="265"/>
      <c r="AQ123" s="265"/>
      <c r="AR123" s="265"/>
      <c r="AS123" s="265"/>
      <c r="AT123" s="265"/>
      <c r="AU123" s="265"/>
      <c r="AV123" s="265"/>
      <c r="AW123" s="265"/>
      <c r="AX123" s="265"/>
      <c r="AY123" s="265"/>
      <c r="AZ123" s="265"/>
      <c r="BA123" s="265"/>
      <c r="BB123" s="265"/>
      <c r="BC123" s="265"/>
      <c r="BD123" s="265"/>
      <c r="BE123" s="265"/>
      <c r="BF123" s="265"/>
      <c r="BG123" s="265"/>
      <c r="BH123" s="265"/>
      <c r="BI123" s="265"/>
      <c r="BJ123" s="265"/>
      <c r="BK123" s="265"/>
      <c r="BL123" s="265"/>
      <c r="BM123" s="265"/>
      <c r="BN123" s="265"/>
      <c r="BO123" s="265"/>
      <c r="BP123" s="265"/>
      <c r="BQ123" s="265"/>
      <c r="BR123" s="265"/>
    </row>
    <row r="124" spans="39:70" s="217" customFormat="1">
      <c r="AM124" s="265"/>
      <c r="AN124" s="265"/>
      <c r="AO124" s="265"/>
      <c r="AP124" s="265"/>
      <c r="AQ124" s="265"/>
      <c r="AR124" s="265"/>
      <c r="AS124" s="265"/>
      <c r="AT124" s="265"/>
      <c r="AU124" s="265"/>
      <c r="AV124" s="265"/>
      <c r="AW124" s="265"/>
      <c r="AX124" s="265"/>
      <c r="AY124" s="265"/>
      <c r="AZ124" s="265"/>
      <c r="BA124" s="265"/>
      <c r="BB124" s="265"/>
      <c r="BC124" s="265"/>
      <c r="BD124" s="265"/>
      <c r="BE124" s="265"/>
      <c r="BF124" s="265"/>
      <c r="BG124" s="265"/>
      <c r="BH124" s="265"/>
      <c r="BI124" s="265"/>
      <c r="BJ124" s="265"/>
      <c r="BK124" s="265"/>
      <c r="BL124" s="265"/>
      <c r="BM124" s="265"/>
      <c r="BN124" s="265"/>
      <c r="BO124" s="265"/>
      <c r="BP124" s="265"/>
      <c r="BQ124" s="265"/>
      <c r="BR124" s="265"/>
    </row>
    <row r="125" spans="39:70" s="217" customFormat="1">
      <c r="AM125" s="265"/>
      <c r="AN125" s="265"/>
      <c r="AO125" s="265"/>
      <c r="AP125" s="265"/>
      <c r="AQ125" s="265"/>
      <c r="AR125" s="265"/>
      <c r="AS125" s="265"/>
      <c r="AT125" s="265"/>
      <c r="AU125" s="265"/>
      <c r="AV125" s="265"/>
      <c r="AW125" s="265"/>
      <c r="AX125" s="265"/>
      <c r="AY125" s="265"/>
      <c r="AZ125" s="265"/>
      <c r="BA125" s="265"/>
      <c r="BB125" s="265"/>
      <c r="BC125" s="265"/>
      <c r="BD125" s="265"/>
      <c r="BE125" s="265"/>
      <c r="BF125" s="265"/>
      <c r="BG125" s="265"/>
      <c r="BH125" s="265"/>
      <c r="BI125" s="265"/>
      <c r="BJ125" s="265"/>
      <c r="BK125" s="265"/>
      <c r="BL125" s="265"/>
      <c r="BM125" s="265"/>
      <c r="BN125" s="265"/>
      <c r="BO125" s="265"/>
      <c r="BP125" s="265"/>
      <c r="BQ125" s="265"/>
      <c r="BR125" s="265"/>
    </row>
    <row r="126" spans="39:70" s="217" customFormat="1">
      <c r="AM126" s="265"/>
      <c r="AN126" s="265"/>
      <c r="AO126" s="265"/>
      <c r="AP126" s="265"/>
      <c r="AQ126" s="265"/>
      <c r="AR126" s="265"/>
      <c r="AS126" s="265"/>
      <c r="AT126" s="265"/>
      <c r="AU126" s="265"/>
      <c r="AV126" s="265"/>
      <c r="AW126" s="265"/>
      <c r="AX126" s="265"/>
      <c r="AY126" s="265"/>
      <c r="AZ126" s="265"/>
      <c r="BA126" s="265"/>
      <c r="BB126" s="265"/>
      <c r="BC126" s="265"/>
      <c r="BD126" s="265"/>
      <c r="BE126" s="265"/>
      <c r="BF126" s="265"/>
      <c r="BG126" s="265"/>
      <c r="BH126" s="265"/>
      <c r="BI126" s="265"/>
      <c r="BJ126" s="265"/>
      <c r="BK126" s="265"/>
      <c r="BL126" s="265"/>
      <c r="BM126" s="265"/>
      <c r="BN126" s="265"/>
      <c r="BO126" s="265"/>
      <c r="BP126" s="265"/>
      <c r="BQ126" s="265"/>
      <c r="BR126" s="265"/>
    </row>
    <row r="127" spans="39:70" s="217" customFormat="1">
      <c r="AM127" s="265"/>
      <c r="AN127" s="265"/>
      <c r="AO127" s="265"/>
      <c r="AP127" s="265"/>
      <c r="AQ127" s="265"/>
      <c r="AR127" s="265"/>
      <c r="AS127" s="265"/>
      <c r="AT127" s="265"/>
      <c r="AU127" s="265"/>
      <c r="AV127" s="265"/>
      <c r="AW127" s="265"/>
      <c r="AX127" s="265"/>
      <c r="AY127" s="265"/>
      <c r="AZ127" s="265"/>
      <c r="BA127" s="265"/>
      <c r="BB127" s="265"/>
      <c r="BC127" s="265"/>
      <c r="BD127" s="265"/>
      <c r="BE127" s="265"/>
      <c r="BF127" s="265"/>
      <c r="BG127" s="265"/>
      <c r="BH127" s="265"/>
      <c r="BI127" s="265"/>
      <c r="BJ127" s="265"/>
      <c r="BK127" s="265"/>
      <c r="BL127" s="265"/>
      <c r="BM127" s="265"/>
      <c r="BN127" s="265"/>
      <c r="BO127" s="265"/>
      <c r="BP127" s="265"/>
      <c r="BQ127" s="265"/>
      <c r="BR127" s="265"/>
    </row>
    <row r="128" spans="39:70" s="217" customFormat="1">
      <c r="AM128" s="265"/>
      <c r="AN128" s="265"/>
      <c r="AO128" s="265"/>
      <c r="AP128" s="265"/>
      <c r="AQ128" s="265"/>
      <c r="AR128" s="265"/>
      <c r="AS128" s="265"/>
      <c r="AT128" s="265"/>
      <c r="AU128" s="265"/>
      <c r="AV128" s="265"/>
      <c r="AW128" s="265"/>
      <c r="AX128" s="265"/>
      <c r="AY128" s="265"/>
      <c r="AZ128" s="265"/>
      <c r="BA128" s="265"/>
      <c r="BB128" s="265"/>
      <c r="BC128" s="265"/>
      <c r="BD128" s="265"/>
      <c r="BE128" s="265"/>
      <c r="BF128" s="265"/>
      <c r="BG128" s="265"/>
      <c r="BH128" s="265"/>
      <c r="BI128" s="265"/>
      <c r="BJ128" s="265"/>
      <c r="BK128" s="265"/>
      <c r="BL128" s="265"/>
      <c r="BM128" s="265"/>
      <c r="BN128" s="265"/>
      <c r="BO128" s="265"/>
      <c r="BP128" s="265"/>
      <c r="BQ128" s="265"/>
      <c r="BR128" s="265"/>
    </row>
    <row r="129" spans="39:70" s="217" customFormat="1">
      <c r="AM129" s="265"/>
      <c r="AN129" s="265"/>
      <c r="AO129" s="265"/>
      <c r="AP129" s="265"/>
      <c r="AQ129" s="265"/>
      <c r="AR129" s="265"/>
      <c r="AS129" s="265"/>
      <c r="AT129" s="265"/>
      <c r="AU129" s="265"/>
      <c r="AV129" s="265"/>
      <c r="AW129" s="265"/>
      <c r="AX129" s="265"/>
      <c r="AY129" s="265"/>
      <c r="AZ129" s="265"/>
      <c r="BA129" s="265"/>
      <c r="BB129" s="265"/>
      <c r="BC129" s="265"/>
      <c r="BD129" s="265"/>
      <c r="BE129" s="265"/>
      <c r="BF129" s="265"/>
      <c r="BG129" s="265"/>
      <c r="BH129" s="265"/>
      <c r="BI129" s="265"/>
      <c r="BJ129" s="265"/>
      <c r="BK129" s="265"/>
      <c r="BL129" s="265"/>
      <c r="BM129" s="265"/>
      <c r="BN129" s="265"/>
      <c r="BO129" s="265"/>
      <c r="BP129" s="265"/>
      <c r="BQ129" s="265"/>
      <c r="BR129" s="265"/>
    </row>
    <row r="130" spans="39:70" s="217" customFormat="1">
      <c r="AM130" s="265"/>
      <c r="AN130" s="265"/>
      <c r="AO130" s="265"/>
      <c r="AP130" s="265"/>
      <c r="AQ130" s="265"/>
      <c r="AR130" s="265"/>
      <c r="AS130" s="265"/>
      <c r="AT130" s="265"/>
      <c r="AU130" s="265"/>
      <c r="AV130" s="265"/>
      <c r="AW130" s="265"/>
      <c r="AX130" s="265"/>
      <c r="AY130" s="265"/>
      <c r="AZ130" s="265"/>
      <c r="BA130" s="265"/>
      <c r="BB130" s="265"/>
      <c r="BC130" s="265"/>
      <c r="BD130" s="265"/>
      <c r="BE130" s="265"/>
      <c r="BF130" s="265"/>
      <c r="BG130" s="265"/>
      <c r="BH130" s="265"/>
      <c r="BI130" s="265"/>
      <c r="BJ130" s="265"/>
      <c r="BK130" s="265"/>
      <c r="BL130" s="265"/>
      <c r="BM130" s="265"/>
      <c r="BN130" s="265"/>
      <c r="BO130" s="265"/>
      <c r="BP130" s="265"/>
      <c r="BQ130" s="265"/>
      <c r="BR130" s="265"/>
    </row>
    <row r="131" spans="39:70" s="217" customFormat="1">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5"/>
      <c r="BR131" s="265"/>
    </row>
    <row r="132" spans="39:70" s="217" customFormat="1">
      <c r="AM132" s="265"/>
      <c r="AN132" s="265"/>
      <c r="AO132" s="265"/>
      <c r="AP132" s="265"/>
      <c r="AQ132" s="265"/>
      <c r="AR132" s="265"/>
      <c r="AS132" s="265"/>
      <c r="AT132" s="265"/>
      <c r="AU132" s="265"/>
      <c r="AV132" s="265"/>
      <c r="AW132" s="265"/>
      <c r="AX132" s="265"/>
      <c r="AY132" s="265"/>
      <c r="AZ132" s="265"/>
      <c r="BA132" s="265"/>
      <c r="BB132" s="265"/>
      <c r="BC132" s="265"/>
      <c r="BD132" s="265"/>
      <c r="BE132" s="265"/>
      <c r="BF132" s="265"/>
      <c r="BG132" s="265"/>
      <c r="BH132" s="265"/>
      <c r="BI132" s="265"/>
      <c r="BJ132" s="265"/>
      <c r="BK132" s="265"/>
      <c r="BL132" s="265"/>
      <c r="BM132" s="265"/>
      <c r="BN132" s="265"/>
      <c r="BO132" s="265"/>
      <c r="BP132" s="265"/>
      <c r="BQ132" s="265"/>
      <c r="BR132" s="265"/>
    </row>
    <row r="133" spans="39:70" s="217" customFormat="1">
      <c r="AM133" s="265"/>
      <c r="AN133" s="265"/>
      <c r="AO133" s="265"/>
      <c r="AP133" s="265"/>
      <c r="AQ133" s="265"/>
      <c r="AR133" s="265"/>
      <c r="AS133" s="265"/>
      <c r="AT133" s="26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5"/>
      <c r="BO133" s="265"/>
      <c r="BP133" s="265"/>
      <c r="BQ133" s="265"/>
      <c r="BR133" s="265"/>
    </row>
    <row r="134" spans="39:70" s="217" customFormat="1">
      <c r="AM134" s="265"/>
      <c r="AN134" s="265"/>
      <c r="AO134" s="265"/>
      <c r="AP134" s="265"/>
      <c r="AQ134" s="265"/>
      <c r="AR134" s="265"/>
      <c r="AS134" s="265"/>
      <c r="AT134" s="265"/>
      <c r="AU134" s="265"/>
      <c r="AV134" s="265"/>
      <c r="AW134" s="265"/>
      <c r="AX134" s="265"/>
      <c r="AY134" s="265"/>
      <c r="AZ134" s="265"/>
      <c r="BA134" s="265"/>
      <c r="BB134" s="265"/>
      <c r="BC134" s="265"/>
      <c r="BD134" s="265"/>
      <c r="BE134" s="265"/>
      <c r="BF134" s="265"/>
      <c r="BG134" s="265"/>
      <c r="BH134" s="265"/>
      <c r="BI134" s="265"/>
      <c r="BJ134" s="265"/>
      <c r="BK134" s="265"/>
      <c r="BL134" s="265"/>
      <c r="BM134" s="265"/>
      <c r="BN134" s="265"/>
      <c r="BO134" s="265"/>
      <c r="BP134" s="265"/>
      <c r="BQ134" s="265"/>
      <c r="BR134" s="265"/>
    </row>
    <row r="135" spans="39:70" s="217" customFormat="1">
      <c r="AM135" s="265"/>
      <c r="AN135" s="265"/>
      <c r="AO135" s="265"/>
      <c r="AP135" s="265"/>
      <c r="AQ135" s="265"/>
      <c r="AR135" s="265"/>
      <c r="AS135" s="265"/>
      <c r="AT135" s="265"/>
      <c r="AU135" s="265"/>
      <c r="AV135" s="265"/>
      <c r="AW135" s="265"/>
      <c r="AX135" s="265"/>
      <c r="AY135" s="265"/>
      <c r="AZ135" s="265"/>
      <c r="BA135" s="265"/>
      <c r="BB135" s="265"/>
      <c r="BC135" s="265"/>
      <c r="BD135" s="265"/>
      <c r="BE135" s="265"/>
      <c r="BF135" s="265"/>
      <c r="BG135" s="265"/>
      <c r="BH135" s="265"/>
      <c r="BI135" s="265"/>
      <c r="BJ135" s="265"/>
      <c r="BK135" s="265"/>
      <c r="BL135" s="265"/>
      <c r="BM135" s="265"/>
      <c r="BN135" s="265"/>
      <c r="BO135" s="265"/>
      <c r="BP135" s="265"/>
      <c r="BQ135" s="265"/>
      <c r="BR135" s="265"/>
    </row>
    <row r="136" spans="39:70" s="217" customFormat="1">
      <c r="AM136" s="265"/>
      <c r="AN136" s="265"/>
      <c r="AO136" s="265"/>
      <c r="AP136" s="265"/>
      <c r="AQ136" s="265"/>
      <c r="AR136" s="265"/>
      <c r="AS136" s="265"/>
      <c r="AT136" s="265"/>
      <c r="AU136" s="265"/>
      <c r="AV136" s="265"/>
      <c r="AW136" s="265"/>
      <c r="AX136" s="265"/>
      <c r="AY136" s="265"/>
      <c r="AZ136" s="265"/>
      <c r="BA136" s="265"/>
      <c r="BB136" s="265"/>
      <c r="BC136" s="265"/>
      <c r="BD136" s="265"/>
      <c r="BE136" s="265"/>
      <c r="BF136" s="265"/>
      <c r="BG136" s="265"/>
      <c r="BH136" s="265"/>
      <c r="BI136" s="265"/>
      <c r="BJ136" s="265"/>
      <c r="BK136" s="265"/>
      <c r="BL136" s="265"/>
      <c r="BM136" s="265"/>
      <c r="BN136" s="265"/>
      <c r="BO136" s="265"/>
      <c r="BP136" s="265"/>
      <c r="BQ136" s="265"/>
      <c r="BR136" s="265"/>
    </row>
    <row r="137" spans="39:70" s="217" customFormat="1">
      <c r="AM137" s="265"/>
      <c r="AN137" s="265"/>
      <c r="AO137" s="265"/>
      <c r="AP137" s="265"/>
      <c r="AQ137" s="265"/>
      <c r="AR137" s="265"/>
      <c r="AS137" s="265"/>
      <c r="AT137" s="265"/>
      <c r="AU137" s="265"/>
      <c r="AV137" s="265"/>
      <c r="AW137" s="265"/>
      <c r="AX137" s="265"/>
      <c r="AY137" s="265"/>
      <c r="AZ137" s="265"/>
      <c r="BA137" s="265"/>
      <c r="BB137" s="265"/>
      <c r="BC137" s="265"/>
      <c r="BD137" s="265"/>
      <c r="BE137" s="265"/>
      <c r="BF137" s="265"/>
      <c r="BG137" s="265"/>
      <c r="BH137" s="265"/>
      <c r="BI137" s="265"/>
      <c r="BJ137" s="265"/>
      <c r="BK137" s="265"/>
      <c r="BL137" s="265"/>
      <c r="BM137" s="265"/>
      <c r="BN137" s="265"/>
      <c r="BO137" s="265"/>
      <c r="BP137" s="265"/>
      <c r="BQ137" s="265"/>
      <c r="BR137" s="265"/>
    </row>
    <row r="138" spans="39:70" s="217" customFormat="1">
      <c r="AM138" s="265"/>
      <c r="AN138" s="265"/>
      <c r="AO138" s="265"/>
      <c r="AP138" s="265"/>
      <c r="AQ138" s="265"/>
      <c r="AR138" s="265"/>
      <c r="AS138" s="265"/>
      <c r="AT138" s="265"/>
      <c r="AU138" s="265"/>
      <c r="AV138" s="265"/>
      <c r="AW138" s="265"/>
      <c r="AX138" s="265"/>
      <c r="AY138" s="265"/>
      <c r="AZ138" s="265"/>
      <c r="BA138" s="265"/>
      <c r="BB138" s="265"/>
      <c r="BC138" s="265"/>
      <c r="BD138" s="265"/>
      <c r="BE138" s="265"/>
      <c r="BF138" s="265"/>
      <c r="BG138" s="265"/>
      <c r="BH138" s="265"/>
      <c r="BI138" s="265"/>
      <c r="BJ138" s="265"/>
      <c r="BK138" s="265"/>
      <c r="BL138" s="265"/>
      <c r="BM138" s="265"/>
      <c r="BN138" s="265"/>
      <c r="BO138" s="265"/>
      <c r="BP138" s="265"/>
      <c r="BQ138" s="265"/>
      <c r="BR138" s="265"/>
    </row>
    <row r="139" spans="39:70" s="217" customFormat="1">
      <c r="AM139" s="265"/>
      <c r="AN139" s="265"/>
      <c r="AO139" s="265"/>
      <c r="AP139" s="265"/>
      <c r="AQ139" s="265"/>
      <c r="AR139" s="265"/>
      <c r="AS139" s="265"/>
      <c r="AT139" s="265"/>
      <c r="AU139" s="265"/>
      <c r="AV139" s="265"/>
      <c r="AW139" s="265"/>
      <c r="AX139" s="265"/>
      <c r="AY139" s="265"/>
      <c r="AZ139" s="265"/>
      <c r="BA139" s="265"/>
      <c r="BB139" s="265"/>
      <c r="BC139" s="265"/>
      <c r="BD139" s="265"/>
      <c r="BE139" s="265"/>
      <c r="BF139" s="265"/>
      <c r="BG139" s="265"/>
      <c r="BH139" s="265"/>
      <c r="BI139" s="265"/>
      <c r="BJ139" s="265"/>
      <c r="BK139" s="265"/>
      <c r="BL139" s="265"/>
      <c r="BM139" s="265"/>
      <c r="BN139" s="265"/>
      <c r="BO139" s="265"/>
      <c r="BP139" s="265"/>
      <c r="BQ139" s="265"/>
      <c r="BR139" s="265"/>
    </row>
    <row r="140" spans="39:70" s="217" customFormat="1">
      <c r="AM140" s="265"/>
      <c r="AN140" s="265"/>
      <c r="AO140" s="265"/>
      <c r="AP140" s="265"/>
      <c r="AQ140" s="265"/>
      <c r="AR140" s="265"/>
      <c r="AS140" s="265"/>
      <c r="AT140" s="265"/>
      <c r="AU140" s="265"/>
      <c r="AV140" s="265"/>
      <c r="AW140" s="265"/>
      <c r="AX140" s="265"/>
      <c r="AY140" s="265"/>
      <c r="AZ140" s="265"/>
      <c r="BA140" s="265"/>
      <c r="BB140" s="265"/>
      <c r="BC140" s="265"/>
      <c r="BD140" s="265"/>
      <c r="BE140" s="265"/>
      <c r="BF140" s="265"/>
      <c r="BG140" s="265"/>
      <c r="BH140" s="265"/>
      <c r="BI140" s="265"/>
      <c r="BJ140" s="265"/>
      <c r="BK140" s="265"/>
      <c r="BL140" s="265"/>
      <c r="BM140" s="265"/>
      <c r="BN140" s="265"/>
      <c r="BO140" s="265"/>
      <c r="BP140" s="265"/>
      <c r="BQ140" s="265"/>
      <c r="BR140" s="265"/>
    </row>
    <row r="141" spans="39:70" s="217" customFormat="1">
      <c r="AM141" s="265"/>
      <c r="AN141" s="265"/>
      <c r="AO141" s="265"/>
      <c r="AP141" s="265"/>
      <c r="AQ141" s="265"/>
      <c r="AR141" s="265"/>
      <c r="AS141" s="265"/>
      <c r="AT141" s="265"/>
      <c r="AU141" s="265"/>
      <c r="AV141" s="265"/>
      <c r="AW141" s="265"/>
      <c r="AX141" s="265"/>
      <c r="AY141" s="265"/>
      <c r="AZ141" s="265"/>
      <c r="BA141" s="265"/>
      <c r="BB141" s="265"/>
      <c r="BC141" s="265"/>
      <c r="BD141" s="265"/>
      <c r="BE141" s="265"/>
      <c r="BF141" s="265"/>
      <c r="BG141" s="265"/>
      <c r="BH141" s="265"/>
      <c r="BI141" s="265"/>
      <c r="BJ141" s="265"/>
      <c r="BK141" s="265"/>
      <c r="BL141" s="265"/>
      <c r="BM141" s="265"/>
      <c r="BN141" s="265"/>
      <c r="BO141" s="265"/>
      <c r="BP141" s="265"/>
      <c r="BQ141" s="265"/>
      <c r="BR141" s="265"/>
    </row>
    <row r="142" spans="39:70" s="217" customFormat="1">
      <c r="AM142" s="265"/>
      <c r="AN142" s="265"/>
      <c r="AO142" s="265"/>
      <c r="AP142" s="265"/>
      <c r="AQ142" s="265"/>
      <c r="AR142" s="265"/>
      <c r="AS142" s="265"/>
      <c r="AT142" s="265"/>
      <c r="AU142" s="265"/>
      <c r="AV142" s="265"/>
      <c r="AW142" s="265"/>
      <c r="AX142" s="265"/>
      <c r="AY142" s="265"/>
      <c r="AZ142" s="265"/>
      <c r="BA142" s="265"/>
      <c r="BB142" s="265"/>
      <c r="BC142" s="265"/>
      <c r="BD142" s="265"/>
      <c r="BE142" s="265"/>
      <c r="BF142" s="265"/>
      <c r="BG142" s="265"/>
      <c r="BH142" s="265"/>
      <c r="BI142" s="265"/>
      <c r="BJ142" s="265"/>
      <c r="BK142" s="265"/>
      <c r="BL142" s="265"/>
      <c r="BM142" s="265"/>
      <c r="BN142" s="265"/>
      <c r="BO142" s="265"/>
      <c r="BP142" s="265"/>
      <c r="BQ142" s="265"/>
      <c r="BR142" s="265"/>
    </row>
    <row r="143" spans="39:70" s="217" customFormat="1">
      <c r="AM143" s="265"/>
      <c r="AN143" s="265"/>
      <c r="AO143" s="265"/>
      <c r="AP143" s="265"/>
      <c r="AQ143" s="265"/>
      <c r="AR143" s="265"/>
      <c r="AS143" s="265"/>
      <c r="AT143" s="265"/>
      <c r="AU143" s="265"/>
      <c r="AV143" s="265"/>
      <c r="AW143" s="265"/>
      <c r="AX143" s="265"/>
      <c r="AY143" s="265"/>
      <c r="AZ143" s="265"/>
      <c r="BA143" s="265"/>
      <c r="BB143" s="265"/>
      <c r="BC143" s="265"/>
      <c r="BD143" s="265"/>
      <c r="BE143" s="265"/>
      <c r="BF143" s="265"/>
      <c r="BG143" s="265"/>
      <c r="BH143" s="265"/>
      <c r="BI143" s="265"/>
      <c r="BJ143" s="265"/>
      <c r="BK143" s="265"/>
      <c r="BL143" s="265"/>
      <c r="BM143" s="265"/>
      <c r="BN143" s="265"/>
      <c r="BO143" s="265"/>
      <c r="BP143" s="265"/>
      <c r="BQ143" s="265"/>
      <c r="BR143" s="265"/>
    </row>
    <row r="144" spans="39:70" s="217" customFormat="1">
      <c r="AM144" s="265"/>
      <c r="AN144" s="265"/>
      <c r="AO144" s="265"/>
      <c r="AP144" s="265"/>
      <c r="AQ144" s="265"/>
      <c r="AR144" s="265"/>
      <c r="AS144" s="265"/>
      <c r="AT144" s="265"/>
      <c r="AU144" s="265"/>
      <c r="AV144" s="265"/>
      <c r="AW144" s="265"/>
      <c r="AX144" s="265"/>
      <c r="AY144" s="265"/>
      <c r="AZ144" s="265"/>
      <c r="BA144" s="265"/>
      <c r="BB144" s="265"/>
      <c r="BC144" s="265"/>
      <c r="BD144" s="265"/>
      <c r="BE144" s="265"/>
      <c r="BF144" s="265"/>
      <c r="BG144" s="265"/>
      <c r="BH144" s="265"/>
      <c r="BI144" s="265"/>
      <c r="BJ144" s="265"/>
      <c r="BK144" s="265"/>
      <c r="BL144" s="265"/>
      <c r="BM144" s="265"/>
      <c r="BN144" s="265"/>
      <c r="BO144" s="265"/>
      <c r="BP144" s="265"/>
      <c r="BQ144" s="265"/>
      <c r="BR144" s="265"/>
    </row>
    <row r="145" spans="39:70" s="217" customFormat="1">
      <c r="AM145" s="265"/>
      <c r="AN145" s="265"/>
      <c r="AO145" s="265"/>
      <c r="AP145" s="265"/>
      <c r="AQ145" s="265"/>
      <c r="AR145" s="265"/>
      <c r="AS145" s="265"/>
      <c r="AT145" s="265"/>
      <c r="AU145" s="265"/>
      <c r="AV145" s="265"/>
      <c r="AW145" s="265"/>
      <c r="AX145" s="265"/>
      <c r="AY145" s="265"/>
      <c r="AZ145" s="265"/>
      <c r="BA145" s="265"/>
      <c r="BB145" s="265"/>
      <c r="BC145" s="265"/>
      <c r="BD145" s="265"/>
      <c r="BE145" s="265"/>
      <c r="BF145" s="265"/>
      <c r="BG145" s="265"/>
      <c r="BH145" s="265"/>
      <c r="BI145" s="265"/>
      <c r="BJ145" s="265"/>
      <c r="BK145" s="265"/>
      <c r="BL145" s="265"/>
      <c r="BM145" s="265"/>
      <c r="BN145" s="265"/>
      <c r="BO145" s="265"/>
      <c r="BP145" s="265"/>
      <c r="BQ145" s="265"/>
      <c r="BR145" s="265"/>
    </row>
    <row r="146" spans="39:70" s="217" customFormat="1">
      <c r="AM146" s="265"/>
      <c r="AN146" s="265"/>
      <c r="AO146" s="265"/>
      <c r="AP146" s="265"/>
      <c r="AQ146" s="265"/>
      <c r="AR146" s="265"/>
      <c r="AS146" s="265"/>
      <c r="AT146" s="265"/>
      <c r="AU146" s="265"/>
      <c r="AV146" s="265"/>
      <c r="AW146" s="265"/>
      <c r="AX146" s="265"/>
      <c r="AY146" s="265"/>
      <c r="AZ146" s="265"/>
      <c r="BA146" s="265"/>
      <c r="BB146" s="265"/>
      <c r="BC146" s="265"/>
      <c r="BD146" s="265"/>
      <c r="BE146" s="265"/>
      <c r="BF146" s="265"/>
      <c r="BG146" s="265"/>
      <c r="BH146" s="265"/>
      <c r="BI146" s="265"/>
      <c r="BJ146" s="265"/>
      <c r="BK146" s="265"/>
      <c r="BL146" s="265"/>
      <c r="BM146" s="265"/>
      <c r="BN146" s="265"/>
      <c r="BO146" s="265"/>
      <c r="BP146" s="265"/>
      <c r="BQ146" s="265"/>
      <c r="BR146" s="265"/>
    </row>
    <row r="147" spans="39:70" s="217" customFormat="1">
      <c r="AM147" s="265"/>
      <c r="AN147" s="265"/>
      <c r="AO147" s="265"/>
      <c r="AP147" s="265"/>
      <c r="AQ147" s="265"/>
      <c r="AR147" s="265"/>
      <c r="AS147" s="265"/>
      <c r="AT147" s="265"/>
      <c r="AU147" s="265"/>
      <c r="AV147" s="265"/>
      <c r="AW147" s="265"/>
      <c r="AX147" s="265"/>
      <c r="AY147" s="265"/>
      <c r="AZ147" s="265"/>
      <c r="BA147" s="265"/>
      <c r="BB147" s="265"/>
      <c r="BC147" s="265"/>
      <c r="BD147" s="265"/>
      <c r="BE147" s="265"/>
      <c r="BF147" s="265"/>
      <c r="BG147" s="265"/>
      <c r="BH147" s="265"/>
      <c r="BI147" s="265"/>
      <c r="BJ147" s="265"/>
      <c r="BK147" s="265"/>
      <c r="BL147" s="265"/>
      <c r="BM147" s="265"/>
      <c r="BN147" s="265"/>
      <c r="BO147" s="265"/>
      <c r="BP147" s="265"/>
      <c r="BQ147" s="265"/>
      <c r="BR147" s="265"/>
    </row>
    <row r="148" spans="39:70" s="217" customFormat="1">
      <c r="AM148" s="265"/>
      <c r="AN148" s="265"/>
      <c r="AO148" s="265"/>
      <c r="AP148" s="265"/>
      <c r="AQ148" s="265"/>
      <c r="AR148" s="265"/>
      <c r="AS148" s="265"/>
      <c r="AT148" s="265"/>
      <c r="AU148" s="265"/>
      <c r="AV148" s="265"/>
      <c r="AW148" s="265"/>
      <c r="AX148" s="265"/>
      <c r="AY148" s="265"/>
      <c r="AZ148" s="265"/>
      <c r="BA148" s="265"/>
      <c r="BB148" s="265"/>
      <c r="BC148" s="265"/>
      <c r="BD148" s="265"/>
      <c r="BE148" s="265"/>
      <c r="BF148" s="265"/>
      <c r="BG148" s="265"/>
      <c r="BH148" s="265"/>
      <c r="BI148" s="265"/>
      <c r="BJ148" s="265"/>
      <c r="BK148" s="265"/>
      <c r="BL148" s="265"/>
      <c r="BM148" s="265"/>
      <c r="BN148" s="265"/>
      <c r="BO148" s="265"/>
      <c r="BP148" s="265"/>
      <c r="BQ148" s="265"/>
      <c r="BR148" s="265"/>
    </row>
    <row r="149" spans="39:70" s="217" customFormat="1">
      <c r="AM149" s="265"/>
      <c r="AN149" s="265"/>
      <c r="AO149" s="265"/>
      <c r="AP149" s="265"/>
      <c r="AQ149" s="265"/>
      <c r="AR149" s="265"/>
      <c r="AS149" s="265"/>
      <c r="AT149" s="265"/>
      <c r="AU149" s="265"/>
      <c r="AV149" s="265"/>
      <c r="AW149" s="265"/>
      <c r="AX149" s="265"/>
      <c r="AY149" s="265"/>
      <c r="AZ149" s="265"/>
      <c r="BA149" s="265"/>
      <c r="BB149" s="265"/>
      <c r="BC149" s="265"/>
      <c r="BD149" s="265"/>
      <c r="BE149" s="265"/>
      <c r="BF149" s="265"/>
      <c r="BG149" s="265"/>
      <c r="BH149" s="265"/>
      <c r="BI149" s="265"/>
      <c r="BJ149" s="265"/>
      <c r="BK149" s="265"/>
      <c r="BL149" s="265"/>
      <c r="BM149" s="265"/>
      <c r="BN149" s="265"/>
      <c r="BO149" s="265"/>
      <c r="BP149" s="265"/>
      <c r="BQ149" s="265"/>
      <c r="BR149" s="265"/>
    </row>
    <row r="150" spans="39:70" s="217" customFormat="1">
      <c r="AM150" s="265"/>
      <c r="AN150" s="265"/>
      <c r="AO150" s="265"/>
      <c r="AP150" s="265"/>
      <c r="AQ150" s="265"/>
      <c r="AR150" s="265"/>
      <c r="AS150" s="265"/>
      <c r="AT150" s="265"/>
      <c r="AU150" s="265"/>
      <c r="AV150" s="265"/>
      <c r="AW150" s="265"/>
      <c r="AX150" s="265"/>
      <c r="AY150" s="265"/>
      <c r="AZ150" s="265"/>
      <c r="BA150" s="265"/>
      <c r="BB150" s="265"/>
      <c r="BC150" s="265"/>
      <c r="BD150" s="265"/>
      <c r="BE150" s="265"/>
      <c r="BF150" s="265"/>
      <c r="BG150" s="265"/>
      <c r="BH150" s="265"/>
      <c r="BI150" s="265"/>
      <c r="BJ150" s="265"/>
      <c r="BK150" s="265"/>
      <c r="BL150" s="265"/>
      <c r="BM150" s="265"/>
      <c r="BN150" s="265"/>
      <c r="BO150" s="265"/>
      <c r="BP150" s="265"/>
      <c r="BQ150" s="265"/>
      <c r="BR150" s="265"/>
    </row>
    <row r="151" spans="39:70" s="217" customFormat="1">
      <c r="AM151" s="265"/>
      <c r="AN151" s="265"/>
      <c r="AO151" s="265"/>
      <c r="AP151" s="265"/>
      <c r="AQ151" s="265"/>
      <c r="AR151" s="265"/>
      <c r="AS151" s="265"/>
      <c r="AT151" s="265"/>
      <c r="AU151" s="265"/>
      <c r="AV151" s="265"/>
      <c r="AW151" s="265"/>
      <c r="AX151" s="265"/>
      <c r="AY151" s="265"/>
      <c r="AZ151" s="265"/>
      <c r="BA151" s="265"/>
      <c r="BB151" s="265"/>
      <c r="BC151" s="265"/>
      <c r="BD151" s="265"/>
      <c r="BE151" s="265"/>
      <c r="BF151" s="265"/>
      <c r="BG151" s="265"/>
      <c r="BH151" s="265"/>
      <c r="BI151" s="265"/>
      <c r="BJ151" s="265"/>
      <c r="BK151" s="265"/>
      <c r="BL151" s="265"/>
      <c r="BM151" s="265"/>
      <c r="BN151" s="265"/>
      <c r="BO151" s="265"/>
      <c r="BP151" s="265"/>
      <c r="BQ151" s="265"/>
      <c r="BR151" s="265"/>
    </row>
    <row r="152" spans="39:70" s="217" customFormat="1">
      <c r="AM152" s="265"/>
      <c r="AN152" s="265"/>
      <c r="AO152" s="265"/>
      <c r="AP152" s="265"/>
      <c r="AQ152" s="265"/>
      <c r="AR152" s="265"/>
      <c r="AS152" s="265"/>
      <c r="AT152" s="265"/>
      <c r="AU152" s="265"/>
      <c r="AV152" s="265"/>
      <c r="AW152" s="265"/>
      <c r="AX152" s="265"/>
      <c r="AY152" s="265"/>
      <c r="AZ152" s="265"/>
      <c r="BA152" s="265"/>
      <c r="BB152" s="265"/>
      <c r="BC152" s="265"/>
      <c r="BD152" s="265"/>
      <c r="BE152" s="265"/>
      <c r="BF152" s="265"/>
      <c r="BG152" s="265"/>
      <c r="BH152" s="265"/>
      <c r="BI152" s="265"/>
      <c r="BJ152" s="265"/>
      <c r="BK152" s="265"/>
      <c r="BL152" s="265"/>
      <c r="BM152" s="265"/>
      <c r="BN152" s="265"/>
      <c r="BO152" s="265"/>
      <c r="BP152" s="265"/>
      <c r="BQ152" s="265"/>
      <c r="BR152" s="265"/>
    </row>
    <row r="153" spans="39:70" s="217" customFormat="1">
      <c r="AM153" s="265"/>
      <c r="AN153" s="265"/>
      <c r="AO153" s="265"/>
      <c r="AP153" s="265"/>
      <c r="AQ153" s="265"/>
      <c r="AR153" s="265"/>
      <c r="AS153" s="265"/>
      <c r="AT153" s="265"/>
      <c r="AU153" s="265"/>
      <c r="AV153" s="265"/>
      <c r="AW153" s="265"/>
      <c r="AX153" s="265"/>
      <c r="AY153" s="265"/>
      <c r="AZ153" s="265"/>
      <c r="BA153" s="265"/>
      <c r="BB153" s="265"/>
      <c r="BC153" s="265"/>
      <c r="BD153" s="265"/>
      <c r="BE153" s="265"/>
      <c r="BF153" s="265"/>
      <c r="BG153" s="265"/>
      <c r="BH153" s="265"/>
      <c r="BI153" s="265"/>
      <c r="BJ153" s="265"/>
      <c r="BK153" s="265"/>
      <c r="BL153" s="265"/>
      <c r="BM153" s="265"/>
      <c r="BN153" s="265"/>
      <c r="BO153" s="265"/>
      <c r="BP153" s="265"/>
      <c r="BQ153" s="265"/>
      <c r="BR153" s="265"/>
    </row>
    <row r="154" spans="39:70" s="217" customFormat="1">
      <c r="AM154" s="265"/>
      <c r="AN154" s="265"/>
      <c r="AO154" s="265"/>
      <c r="AP154" s="265"/>
      <c r="AQ154" s="265"/>
      <c r="AR154" s="265"/>
      <c r="AS154" s="265"/>
      <c r="AT154" s="265"/>
      <c r="AU154" s="265"/>
      <c r="AV154" s="265"/>
      <c r="AW154" s="265"/>
      <c r="AX154" s="265"/>
      <c r="AY154" s="265"/>
      <c r="AZ154" s="265"/>
      <c r="BA154" s="265"/>
      <c r="BB154" s="265"/>
      <c r="BC154" s="265"/>
      <c r="BD154" s="265"/>
      <c r="BE154" s="265"/>
      <c r="BF154" s="265"/>
      <c r="BG154" s="265"/>
      <c r="BH154" s="265"/>
      <c r="BI154" s="265"/>
      <c r="BJ154" s="265"/>
      <c r="BK154" s="265"/>
      <c r="BL154" s="265"/>
      <c r="BM154" s="265"/>
      <c r="BN154" s="265"/>
      <c r="BO154" s="265"/>
      <c r="BP154" s="265"/>
      <c r="BQ154" s="265"/>
      <c r="BR154" s="265"/>
    </row>
    <row r="155" spans="39:70" s="217" customFormat="1">
      <c r="AM155" s="265"/>
      <c r="AN155" s="265"/>
      <c r="AO155" s="265"/>
      <c r="AP155" s="265"/>
      <c r="AQ155" s="265"/>
      <c r="AR155" s="265"/>
      <c r="AS155" s="265"/>
      <c r="AT155" s="265"/>
      <c r="AU155" s="265"/>
      <c r="AV155" s="265"/>
      <c r="AW155" s="265"/>
      <c r="AX155" s="265"/>
      <c r="AY155" s="265"/>
      <c r="AZ155" s="265"/>
      <c r="BA155" s="265"/>
      <c r="BB155" s="265"/>
      <c r="BC155" s="265"/>
      <c r="BD155" s="265"/>
      <c r="BE155" s="265"/>
      <c r="BF155" s="265"/>
      <c r="BG155" s="265"/>
      <c r="BH155" s="265"/>
      <c r="BI155" s="265"/>
      <c r="BJ155" s="265"/>
      <c r="BK155" s="265"/>
      <c r="BL155" s="265"/>
      <c r="BM155" s="265"/>
      <c r="BN155" s="265"/>
      <c r="BO155" s="265"/>
      <c r="BP155" s="265"/>
      <c r="BQ155" s="265"/>
      <c r="BR155" s="265"/>
    </row>
    <row r="156" spans="39:70" s="217" customFormat="1">
      <c r="AM156" s="265"/>
      <c r="AN156" s="265"/>
      <c r="AO156" s="265"/>
      <c r="AP156" s="265"/>
      <c r="AQ156" s="265"/>
      <c r="AR156" s="265"/>
      <c r="AS156" s="265"/>
      <c r="AT156" s="265"/>
      <c r="AU156" s="265"/>
      <c r="AV156" s="265"/>
      <c r="AW156" s="265"/>
      <c r="AX156" s="265"/>
      <c r="AY156" s="265"/>
      <c r="AZ156" s="265"/>
      <c r="BA156" s="265"/>
      <c r="BB156" s="265"/>
      <c r="BC156" s="265"/>
      <c r="BD156" s="265"/>
      <c r="BE156" s="265"/>
      <c r="BF156" s="265"/>
      <c r="BG156" s="265"/>
      <c r="BH156" s="265"/>
      <c r="BI156" s="265"/>
      <c r="BJ156" s="265"/>
      <c r="BK156" s="265"/>
      <c r="BL156" s="265"/>
      <c r="BM156" s="265"/>
      <c r="BN156" s="265"/>
      <c r="BO156" s="265"/>
      <c r="BP156" s="265"/>
      <c r="BQ156" s="265"/>
      <c r="BR156" s="265"/>
    </row>
    <row r="157" spans="39:70" s="217" customFormat="1">
      <c r="AM157" s="265"/>
      <c r="AN157" s="265"/>
      <c r="AO157" s="265"/>
      <c r="AP157" s="265"/>
      <c r="AQ157" s="265"/>
      <c r="AR157" s="265"/>
      <c r="AS157" s="265"/>
      <c r="AT157" s="265"/>
      <c r="AU157" s="265"/>
      <c r="AV157" s="265"/>
      <c r="AW157" s="265"/>
      <c r="AX157" s="265"/>
      <c r="AY157" s="265"/>
      <c r="AZ157" s="265"/>
      <c r="BA157" s="265"/>
      <c r="BB157" s="265"/>
      <c r="BC157" s="265"/>
      <c r="BD157" s="265"/>
      <c r="BE157" s="265"/>
      <c r="BF157" s="265"/>
      <c r="BG157" s="265"/>
      <c r="BH157" s="265"/>
      <c r="BI157" s="265"/>
      <c r="BJ157" s="265"/>
      <c r="BK157" s="265"/>
      <c r="BL157" s="265"/>
      <c r="BM157" s="265"/>
      <c r="BN157" s="265"/>
      <c r="BO157" s="265"/>
      <c r="BP157" s="265"/>
      <c r="BQ157" s="265"/>
      <c r="BR157" s="265"/>
    </row>
    <row r="158" spans="39:70" s="217" customFormat="1">
      <c r="AM158" s="265"/>
      <c r="AN158" s="265"/>
      <c r="AO158" s="265"/>
      <c r="AP158" s="265"/>
      <c r="AQ158" s="265"/>
      <c r="AR158" s="265"/>
      <c r="AS158" s="265"/>
      <c r="AT158" s="265"/>
      <c r="AU158" s="265"/>
      <c r="AV158" s="265"/>
      <c r="AW158" s="265"/>
      <c r="AX158" s="265"/>
      <c r="AY158" s="265"/>
      <c r="AZ158" s="265"/>
      <c r="BA158" s="265"/>
      <c r="BB158" s="265"/>
      <c r="BC158" s="265"/>
      <c r="BD158" s="265"/>
      <c r="BE158" s="265"/>
      <c r="BF158" s="265"/>
      <c r="BG158" s="265"/>
      <c r="BH158" s="265"/>
      <c r="BI158" s="265"/>
      <c r="BJ158" s="265"/>
      <c r="BK158" s="265"/>
      <c r="BL158" s="265"/>
      <c r="BM158" s="265"/>
      <c r="BN158" s="265"/>
      <c r="BO158" s="265"/>
      <c r="BP158" s="265"/>
      <c r="BQ158" s="265"/>
      <c r="BR158" s="265"/>
    </row>
    <row r="159" spans="39:70" s="217" customFormat="1">
      <c r="AM159" s="265"/>
      <c r="AN159" s="265"/>
      <c r="AO159" s="265"/>
      <c r="AP159" s="265"/>
      <c r="AQ159" s="265"/>
      <c r="AR159" s="265"/>
      <c r="AS159" s="265"/>
      <c r="AT159" s="265"/>
      <c r="AU159" s="265"/>
      <c r="AV159" s="265"/>
      <c r="AW159" s="265"/>
      <c r="AX159" s="265"/>
      <c r="AY159" s="265"/>
      <c r="AZ159" s="265"/>
      <c r="BA159" s="265"/>
      <c r="BB159" s="265"/>
      <c r="BC159" s="265"/>
      <c r="BD159" s="265"/>
      <c r="BE159" s="265"/>
      <c r="BF159" s="265"/>
      <c r="BG159" s="265"/>
      <c r="BH159" s="265"/>
      <c r="BI159" s="265"/>
      <c r="BJ159" s="265"/>
      <c r="BK159" s="265"/>
      <c r="BL159" s="265"/>
      <c r="BM159" s="265"/>
      <c r="BN159" s="265"/>
      <c r="BO159" s="265"/>
      <c r="BP159" s="265"/>
      <c r="BQ159" s="265"/>
      <c r="BR159" s="265"/>
    </row>
    <row r="160" spans="39:70" s="217" customFormat="1">
      <c r="AM160" s="265"/>
      <c r="AN160" s="265"/>
      <c r="AO160" s="265"/>
      <c r="AP160" s="265"/>
      <c r="AQ160" s="265"/>
      <c r="AR160" s="265"/>
      <c r="AS160" s="265"/>
      <c r="AT160" s="265"/>
      <c r="AU160" s="265"/>
      <c r="AV160" s="265"/>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5"/>
    </row>
    <row r="161" spans="39:70" s="217" customFormat="1">
      <c r="AM161" s="265"/>
      <c r="AN161" s="265"/>
      <c r="AO161" s="265"/>
      <c r="AP161" s="265"/>
      <c r="AQ161" s="265"/>
      <c r="AR161" s="265"/>
      <c r="AS161" s="265"/>
      <c r="AT161" s="265"/>
      <c r="AU161" s="265"/>
      <c r="AV161" s="265"/>
      <c r="AW161" s="265"/>
      <c r="AX161" s="265"/>
      <c r="AY161" s="265"/>
      <c r="AZ161" s="265"/>
      <c r="BA161" s="265"/>
      <c r="BB161" s="265"/>
      <c r="BC161" s="265"/>
      <c r="BD161" s="265"/>
      <c r="BE161" s="265"/>
      <c r="BF161" s="265"/>
      <c r="BG161" s="265"/>
      <c r="BH161" s="265"/>
      <c r="BI161" s="265"/>
      <c r="BJ161" s="265"/>
      <c r="BK161" s="265"/>
      <c r="BL161" s="265"/>
      <c r="BM161" s="265"/>
      <c r="BN161" s="265"/>
      <c r="BO161" s="265"/>
      <c r="BP161" s="265"/>
      <c r="BQ161" s="265"/>
      <c r="BR161" s="265"/>
    </row>
    <row r="162" spans="39:70" s="217" customFormat="1">
      <c r="AM162" s="265"/>
      <c r="AN162" s="265"/>
      <c r="AO162" s="265"/>
      <c r="AP162" s="265"/>
      <c r="AQ162" s="265"/>
      <c r="AR162" s="265"/>
      <c r="AS162" s="265"/>
      <c r="AT162" s="265"/>
      <c r="AU162" s="265"/>
      <c r="AV162" s="265"/>
      <c r="AW162" s="265"/>
      <c r="AX162" s="265"/>
      <c r="AY162" s="265"/>
      <c r="AZ162" s="265"/>
      <c r="BA162" s="265"/>
      <c r="BB162" s="265"/>
      <c r="BC162" s="265"/>
      <c r="BD162" s="265"/>
      <c r="BE162" s="265"/>
      <c r="BF162" s="265"/>
      <c r="BG162" s="265"/>
      <c r="BH162" s="265"/>
      <c r="BI162" s="265"/>
      <c r="BJ162" s="265"/>
      <c r="BK162" s="265"/>
      <c r="BL162" s="265"/>
      <c r="BM162" s="265"/>
      <c r="BN162" s="265"/>
      <c r="BO162" s="265"/>
      <c r="BP162" s="265"/>
      <c r="BQ162" s="265"/>
      <c r="BR162" s="265"/>
    </row>
    <row r="163" spans="39:70" s="217" customFormat="1">
      <c r="AM163" s="265"/>
      <c r="AN163" s="265"/>
      <c r="AO163" s="265"/>
      <c r="AP163" s="265"/>
      <c r="AQ163" s="265"/>
      <c r="AR163" s="265"/>
      <c r="AS163" s="265"/>
      <c r="AT163" s="265"/>
      <c r="AU163" s="265"/>
      <c r="AV163" s="265"/>
      <c r="AW163" s="265"/>
      <c r="AX163" s="265"/>
      <c r="AY163" s="265"/>
      <c r="AZ163" s="265"/>
      <c r="BA163" s="265"/>
      <c r="BB163" s="265"/>
      <c r="BC163" s="265"/>
      <c r="BD163" s="265"/>
      <c r="BE163" s="265"/>
      <c r="BF163" s="265"/>
      <c r="BG163" s="265"/>
      <c r="BH163" s="265"/>
      <c r="BI163" s="265"/>
      <c r="BJ163" s="265"/>
      <c r="BK163" s="265"/>
      <c r="BL163" s="265"/>
      <c r="BM163" s="265"/>
      <c r="BN163" s="265"/>
      <c r="BO163" s="265"/>
      <c r="BP163" s="265"/>
      <c r="BQ163" s="265"/>
      <c r="BR163" s="265"/>
    </row>
    <row r="164" spans="39:70" s="217" customFormat="1">
      <c r="AM164" s="265"/>
      <c r="AN164" s="265"/>
      <c r="AO164" s="265"/>
      <c r="AP164" s="265"/>
      <c r="AQ164" s="265"/>
      <c r="AR164" s="265"/>
      <c r="AS164" s="265"/>
      <c r="AT164" s="265"/>
      <c r="AU164" s="265"/>
      <c r="AV164" s="265"/>
      <c r="AW164" s="265"/>
      <c r="AX164" s="265"/>
      <c r="AY164" s="265"/>
      <c r="AZ164" s="265"/>
      <c r="BA164" s="265"/>
      <c r="BB164" s="265"/>
      <c r="BC164" s="265"/>
      <c r="BD164" s="265"/>
      <c r="BE164" s="265"/>
      <c r="BF164" s="265"/>
      <c r="BG164" s="265"/>
      <c r="BH164" s="265"/>
      <c r="BI164" s="265"/>
      <c r="BJ164" s="265"/>
      <c r="BK164" s="265"/>
      <c r="BL164" s="265"/>
      <c r="BM164" s="265"/>
      <c r="BN164" s="265"/>
      <c r="BO164" s="265"/>
      <c r="BP164" s="265"/>
      <c r="BQ164" s="265"/>
      <c r="BR164" s="265"/>
    </row>
    <row r="165" spans="39:70" s="217" customFormat="1">
      <c r="AM165" s="265"/>
      <c r="AN165" s="265"/>
      <c r="AO165" s="265"/>
      <c r="AP165" s="265"/>
      <c r="AQ165" s="265"/>
      <c r="AR165" s="265"/>
      <c r="AS165" s="265"/>
      <c r="AT165" s="265"/>
      <c r="AU165" s="265"/>
      <c r="AV165" s="265"/>
      <c r="AW165" s="265"/>
      <c r="AX165" s="265"/>
      <c r="AY165" s="265"/>
      <c r="AZ165" s="265"/>
      <c r="BA165" s="265"/>
      <c r="BB165" s="265"/>
      <c r="BC165" s="265"/>
      <c r="BD165" s="265"/>
      <c r="BE165" s="265"/>
      <c r="BF165" s="265"/>
      <c r="BG165" s="265"/>
      <c r="BH165" s="265"/>
      <c r="BI165" s="265"/>
      <c r="BJ165" s="265"/>
      <c r="BK165" s="265"/>
      <c r="BL165" s="265"/>
      <c r="BM165" s="265"/>
      <c r="BN165" s="265"/>
      <c r="BO165" s="265"/>
      <c r="BP165" s="265"/>
      <c r="BQ165" s="265"/>
      <c r="BR165" s="265"/>
    </row>
    <row r="166" spans="39:70" s="217" customFormat="1">
      <c r="AM166" s="265"/>
      <c r="AN166" s="265"/>
      <c r="AO166" s="265"/>
      <c r="AP166" s="265"/>
      <c r="AQ166" s="265"/>
      <c r="AR166" s="265"/>
      <c r="AS166" s="265"/>
      <c r="AT166" s="265"/>
      <c r="AU166" s="265"/>
      <c r="AV166" s="265"/>
      <c r="AW166" s="265"/>
      <c r="AX166" s="265"/>
      <c r="AY166" s="265"/>
      <c r="AZ166" s="265"/>
      <c r="BA166" s="265"/>
      <c r="BB166" s="265"/>
      <c r="BC166" s="265"/>
      <c r="BD166" s="265"/>
      <c r="BE166" s="265"/>
      <c r="BF166" s="265"/>
      <c r="BG166" s="265"/>
      <c r="BH166" s="265"/>
      <c r="BI166" s="265"/>
      <c r="BJ166" s="265"/>
      <c r="BK166" s="265"/>
      <c r="BL166" s="265"/>
      <c r="BM166" s="265"/>
      <c r="BN166" s="265"/>
      <c r="BO166" s="265"/>
      <c r="BP166" s="265"/>
      <c r="BQ166" s="265"/>
      <c r="BR166" s="265"/>
    </row>
    <row r="167" spans="39:70" s="217" customFormat="1">
      <c r="AM167" s="265"/>
      <c r="AN167" s="265"/>
      <c r="AO167" s="265"/>
      <c r="AP167" s="265"/>
      <c r="AQ167" s="265"/>
      <c r="AR167" s="265"/>
      <c r="AS167" s="265"/>
      <c r="AT167" s="265"/>
      <c r="AU167" s="265"/>
      <c r="AV167" s="265"/>
      <c r="AW167" s="265"/>
      <c r="AX167" s="265"/>
      <c r="AY167" s="265"/>
      <c r="AZ167" s="265"/>
      <c r="BA167" s="265"/>
      <c r="BB167" s="265"/>
      <c r="BC167" s="265"/>
      <c r="BD167" s="265"/>
      <c r="BE167" s="265"/>
      <c r="BF167" s="265"/>
      <c r="BG167" s="265"/>
      <c r="BH167" s="265"/>
      <c r="BI167" s="265"/>
      <c r="BJ167" s="265"/>
      <c r="BK167" s="265"/>
      <c r="BL167" s="265"/>
      <c r="BM167" s="265"/>
      <c r="BN167" s="265"/>
      <c r="BO167" s="265"/>
      <c r="BP167" s="265"/>
      <c r="BQ167" s="265"/>
      <c r="BR167" s="265"/>
    </row>
    <row r="168" spans="39:70" s="217" customFormat="1">
      <c r="AM168" s="265"/>
      <c r="AN168" s="265"/>
      <c r="AO168" s="265"/>
      <c r="AP168" s="265"/>
      <c r="AQ168" s="265"/>
      <c r="AR168" s="265"/>
      <c r="AS168" s="265"/>
      <c r="AT168" s="265"/>
      <c r="AU168" s="265"/>
      <c r="AV168" s="265"/>
      <c r="AW168" s="265"/>
      <c r="AX168" s="265"/>
      <c r="AY168" s="265"/>
      <c r="AZ168" s="265"/>
      <c r="BA168" s="265"/>
      <c r="BB168" s="265"/>
      <c r="BC168" s="265"/>
      <c r="BD168" s="265"/>
      <c r="BE168" s="265"/>
      <c r="BF168" s="265"/>
      <c r="BG168" s="265"/>
      <c r="BH168" s="265"/>
      <c r="BI168" s="265"/>
      <c r="BJ168" s="265"/>
      <c r="BK168" s="265"/>
      <c r="BL168" s="265"/>
      <c r="BM168" s="265"/>
      <c r="BN168" s="265"/>
      <c r="BO168" s="265"/>
      <c r="BP168" s="265"/>
      <c r="BQ168" s="265"/>
      <c r="BR168" s="265"/>
    </row>
    <row r="169" spans="39:70" s="217" customFormat="1">
      <c r="AM169" s="265"/>
      <c r="AN169" s="265"/>
      <c r="AO169" s="265"/>
      <c r="AP169" s="265"/>
      <c r="AQ169" s="265"/>
      <c r="AR169" s="265"/>
      <c r="AS169" s="265"/>
      <c r="AT169" s="265"/>
      <c r="AU169" s="265"/>
      <c r="AV169" s="265"/>
      <c r="AW169" s="265"/>
      <c r="AX169" s="265"/>
      <c r="AY169" s="265"/>
      <c r="AZ169" s="265"/>
      <c r="BA169" s="265"/>
      <c r="BB169" s="265"/>
      <c r="BC169" s="265"/>
      <c r="BD169" s="265"/>
      <c r="BE169" s="265"/>
      <c r="BF169" s="265"/>
      <c r="BG169" s="265"/>
      <c r="BH169" s="265"/>
      <c r="BI169" s="265"/>
      <c r="BJ169" s="265"/>
      <c r="BK169" s="265"/>
      <c r="BL169" s="265"/>
      <c r="BM169" s="265"/>
      <c r="BN169" s="265"/>
      <c r="BO169" s="265"/>
      <c r="BP169" s="265"/>
      <c r="BQ169" s="265"/>
      <c r="BR169" s="265"/>
    </row>
    <row r="170" spans="39:70" s="217" customFormat="1">
      <c r="AM170" s="265"/>
      <c r="AN170" s="265"/>
      <c r="AO170" s="265"/>
      <c r="AP170" s="265"/>
      <c r="AQ170" s="265"/>
      <c r="AR170" s="265"/>
      <c r="AS170" s="265"/>
      <c r="AT170" s="265"/>
      <c r="AU170" s="265"/>
      <c r="AV170" s="265"/>
      <c r="AW170" s="265"/>
      <c r="AX170" s="265"/>
      <c r="AY170" s="265"/>
      <c r="AZ170" s="265"/>
      <c r="BA170" s="265"/>
      <c r="BB170" s="265"/>
      <c r="BC170" s="265"/>
      <c r="BD170" s="265"/>
      <c r="BE170" s="265"/>
      <c r="BF170" s="265"/>
      <c r="BG170" s="265"/>
      <c r="BH170" s="265"/>
      <c r="BI170" s="265"/>
      <c r="BJ170" s="265"/>
      <c r="BK170" s="265"/>
      <c r="BL170" s="265"/>
      <c r="BM170" s="265"/>
      <c r="BN170" s="265"/>
      <c r="BO170" s="265"/>
      <c r="BP170" s="265"/>
      <c r="BQ170" s="265"/>
      <c r="BR170" s="265"/>
    </row>
    <row r="171" spans="39:70" s="217" customFormat="1">
      <c r="AM171" s="265"/>
      <c r="AN171" s="265"/>
      <c r="AO171" s="265"/>
      <c r="AP171" s="265"/>
      <c r="AQ171" s="265"/>
      <c r="AR171" s="265"/>
      <c r="AS171" s="265"/>
      <c r="AT171" s="265"/>
      <c r="AU171" s="265"/>
      <c r="AV171" s="265"/>
      <c r="AW171" s="265"/>
      <c r="AX171" s="265"/>
      <c r="AY171" s="265"/>
      <c r="AZ171" s="265"/>
      <c r="BA171" s="265"/>
      <c r="BB171" s="265"/>
      <c r="BC171" s="265"/>
      <c r="BD171" s="265"/>
      <c r="BE171" s="265"/>
      <c r="BF171" s="265"/>
      <c r="BG171" s="265"/>
      <c r="BH171" s="265"/>
      <c r="BI171" s="265"/>
      <c r="BJ171" s="265"/>
      <c r="BK171" s="265"/>
      <c r="BL171" s="265"/>
      <c r="BM171" s="265"/>
      <c r="BN171" s="265"/>
      <c r="BO171" s="265"/>
      <c r="BP171" s="265"/>
      <c r="BQ171" s="265"/>
      <c r="BR171" s="265"/>
    </row>
    <row r="172" spans="39:70" s="217" customFormat="1">
      <c r="AM172" s="265"/>
      <c r="AN172" s="265"/>
      <c r="AO172" s="265"/>
      <c r="AP172" s="265"/>
      <c r="AQ172" s="265"/>
      <c r="AR172" s="265"/>
      <c r="AS172" s="265"/>
      <c r="AT172" s="265"/>
      <c r="AU172" s="265"/>
      <c r="AV172" s="265"/>
      <c r="AW172" s="265"/>
      <c r="AX172" s="265"/>
      <c r="AY172" s="265"/>
      <c r="AZ172" s="265"/>
      <c r="BA172" s="265"/>
      <c r="BB172" s="265"/>
      <c r="BC172" s="265"/>
      <c r="BD172" s="265"/>
      <c r="BE172" s="265"/>
      <c r="BF172" s="265"/>
      <c r="BG172" s="265"/>
      <c r="BH172" s="265"/>
      <c r="BI172" s="265"/>
      <c r="BJ172" s="265"/>
      <c r="BK172" s="265"/>
      <c r="BL172" s="265"/>
      <c r="BM172" s="265"/>
      <c r="BN172" s="265"/>
      <c r="BO172" s="265"/>
      <c r="BP172" s="265"/>
      <c r="BQ172" s="265"/>
      <c r="BR172" s="265"/>
    </row>
    <row r="173" spans="39:70" s="217" customFormat="1">
      <c r="AM173" s="265"/>
      <c r="AN173" s="265"/>
      <c r="AO173" s="265"/>
      <c r="AP173" s="265"/>
      <c r="AQ173" s="265"/>
      <c r="AR173" s="265"/>
      <c r="AS173" s="265"/>
      <c r="AT173" s="265"/>
      <c r="AU173" s="265"/>
      <c r="AV173" s="265"/>
      <c r="AW173" s="265"/>
      <c r="AX173" s="265"/>
      <c r="AY173" s="265"/>
      <c r="AZ173" s="265"/>
      <c r="BA173" s="265"/>
      <c r="BB173" s="265"/>
      <c r="BC173" s="265"/>
      <c r="BD173" s="265"/>
      <c r="BE173" s="265"/>
      <c r="BF173" s="265"/>
      <c r="BG173" s="265"/>
      <c r="BH173" s="265"/>
      <c r="BI173" s="265"/>
      <c r="BJ173" s="265"/>
      <c r="BK173" s="265"/>
      <c r="BL173" s="265"/>
      <c r="BM173" s="265"/>
      <c r="BN173" s="265"/>
      <c r="BO173" s="265"/>
      <c r="BP173" s="265"/>
      <c r="BQ173" s="265"/>
      <c r="BR173" s="265"/>
    </row>
    <row r="174" spans="39:70" s="217" customFormat="1">
      <c r="AM174" s="265"/>
      <c r="AN174" s="265"/>
      <c r="AO174" s="265"/>
      <c r="AP174" s="265"/>
      <c r="AQ174" s="265"/>
      <c r="AR174" s="265"/>
      <c r="AS174" s="265"/>
      <c r="AT174" s="265"/>
      <c r="AU174" s="265"/>
      <c r="AV174" s="265"/>
      <c r="AW174" s="265"/>
      <c r="AX174" s="265"/>
      <c r="AY174" s="265"/>
      <c r="AZ174" s="265"/>
      <c r="BA174" s="265"/>
      <c r="BB174" s="265"/>
      <c r="BC174" s="265"/>
      <c r="BD174" s="265"/>
      <c r="BE174" s="265"/>
      <c r="BF174" s="265"/>
      <c r="BG174" s="265"/>
      <c r="BH174" s="265"/>
      <c r="BI174" s="265"/>
      <c r="BJ174" s="265"/>
      <c r="BK174" s="265"/>
      <c r="BL174" s="265"/>
      <c r="BM174" s="265"/>
      <c r="BN174" s="265"/>
      <c r="BO174" s="265"/>
      <c r="BP174" s="265"/>
      <c r="BQ174" s="265"/>
      <c r="BR174" s="265"/>
    </row>
    <row r="175" spans="39:70" s="217" customFormat="1">
      <c r="AM175" s="265"/>
      <c r="AN175" s="265"/>
      <c r="AO175" s="265"/>
      <c r="AP175" s="265"/>
      <c r="AQ175" s="265"/>
      <c r="AR175" s="265"/>
      <c r="AS175" s="265"/>
      <c r="AT175" s="265"/>
      <c r="AU175" s="265"/>
      <c r="AV175" s="265"/>
      <c r="AW175" s="265"/>
      <c r="AX175" s="265"/>
      <c r="AY175" s="265"/>
      <c r="AZ175" s="265"/>
      <c r="BA175" s="265"/>
      <c r="BB175" s="265"/>
      <c r="BC175" s="265"/>
      <c r="BD175" s="265"/>
      <c r="BE175" s="265"/>
      <c r="BF175" s="265"/>
      <c r="BG175" s="265"/>
      <c r="BH175" s="265"/>
      <c r="BI175" s="265"/>
      <c r="BJ175" s="265"/>
      <c r="BK175" s="265"/>
      <c r="BL175" s="265"/>
      <c r="BM175" s="265"/>
      <c r="BN175" s="265"/>
      <c r="BO175" s="265"/>
      <c r="BP175" s="265"/>
      <c r="BQ175" s="265"/>
      <c r="BR175" s="265"/>
    </row>
    <row r="176" spans="39:70" s="217" customFormat="1">
      <c r="AM176" s="265"/>
      <c r="AN176" s="265"/>
      <c r="AO176" s="265"/>
      <c r="AP176" s="265"/>
      <c r="AQ176" s="265"/>
      <c r="AR176" s="265"/>
      <c r="AS176" s="265"/>
      <c r="AT176" s="265"/>
      <c r="AU176" s="265"/>
      <c r="AV176" s="265"/>
      <c r="AW176" s="265"/>
      <c r="AX176" s="265"/>
      <c r="AY176" s="265"/>
      <c r="AZ176" s="265"/>
      <c r="BA176" s="265"/>
      <c r="BB176" s="265"/>
      <c r="BC176" s="265"/>
      <c r="BD176" s="265"/>
      <c r="BE176" s="265"/>
      <c r="BF176" s="265"/>
      <c r="BG176" s="265"/>
      <c r="BH176" s="265"/>
      <c r="BI176" s="265"/>
      <c r="BJ176" s="265"/>
      <c r="BK176" s="265"/>
      <c r="BL176" s="265"/>
      <c r="BM176" s="265"/>
      <c r="BN176" s="265"/>
      <c r="BO176" s="265"/>
      <c r="BP176" s="265"/>
      <c r="BQ176" s="265"/>
      <c r="BR176" s="265"/>
    </row>
    <row r="177" spans="39:70" s="217" customFormat="1">
      <c r="AM177" s="265"/>
      <c r="AN177" s="265"/>
      <c r="AO177" s="265"/>
      <c r="AP177" s="265"/>
      <c r="AQ177" s="265"/>
      <c r="AR177" s="265"/>
      <c r="AS177" s="265"/>
      <c r="AT177" s="265"/>
      <c r="AU177" s="265"/>
      <c r="AV177" s="265"/>
      <c r="AW177" s="265"/>
      <c r="AX177" s="265"/>
      <c r="AY177" s="265"/>
      <c r="AZ177" s="265"/>
      <c r="BA177" s="265"/>
      <c r="BB177" s="265"/>
      <c r="BC177" s="265"/>
      <c r="BD177" s="265"/>
      <c r="BE177" s="265"/>
      <c r="BF177" s="265"/>
      <c r="BG177" s="265"/>
      <c r="BH177" s="265"/>
      <c r="BI177" s="265"/>
      <c r="BJ177" s="265"/>
      <c r="BK177" s="265"/>
      <c r="BL177" s="265"/>
      <c r="BM177" s="265"/>
      <c r="BN177" s="265"/>
      <c r="BO177" s="265"/>
      <c r="BP177" s="265"/>
      <c r="BQ177" s="265"/>
      <c r="BR177" s="265"/>
    </row>
    <row r="178" spans="39:70" s="217" customFormat="1">
      <c r="AM178" s="265"/>
      <c r="AN178" s="265"/>
      <c r="AO178" s="265"/>
      <c r="AP178" s="265"/>
      <c r="AQ178" s="265"/>
      <c r="AR178" s="265"/>
      <c r="AS178" s="265"/>
      <c r="AT178" s="265"/>
      <c r="AU178" s="265"/>
      <c r="AV178" s="265"/>
      <c r="AW178" s="265"/>
      <c r="AX178" s="265"/>
      <c r="AY178" s="265"/>
      <c r="AZ178" s="265"/>
      <c r="BA178" s="265"/>
      <c r="BB178" s="265"/>
      <c r="BC178" s="265"/>
      <c r="BD178" s="265"/>
      <c r="BE178" s="265"/>
      <c r="BF178" s="265"/>
      <c r="BG178" s="265"/>
      <c r="BH178" s="265"/>
      <c r="BI178" s="265"/>
      <c r="BJ178" s="265"/>
      <c r="BK178" s="265"/>
      <c r="BL178" s="265"/>
      <c r="BM178" s="265"/>
      <c r="BN178" s="265"/>
      <c r="BO178" s="265"/>
      <c r="BP178" s="265"/>
      <c r="BQ178" s="265"/>
      <c r="BR178" s="265"/>
    </row>
    <row r="179" spans="39:70" s="217" customFormat="1">
      <c r="AM179" s="265"/>
      <c r="AN179" s="265"/>
      <c r="AO179" s="265"/>
      <c r="AP179" s="265"/>
      <c r="AQ179" s="265"/>
      <c r="AR179" s="265"/>
      <c r="AS179" s="265"/>
      <c r="AT179" s="265"/>
      <c r="AU179" s="265"/>
      <c r="AV179" s="265"/>
      <c r="AW179" s="265"/>
      <c r="AX179" s="265"/>
      <c r="AY179" s="265"/>
      <c r="AZ179" s="265"/>
      <c r="BA179" s="265"/>
      <c r="BB179" s="265"/>
      <c r="BC179" s="265"/>
      <c r="BD179" s="265"/>
      <c r="BE179" s="265"/>
      <c r="BF179" s="265"/>
      <c r="BG179" s="265"/>
      <c r="BH179" s="265"/>
      <c r="BI179" s="265"/>
      <c r="BJ179" s="265"/>
      <c r="BK179" s="265"/>
      <c r="BL179" s="265"/>
      <c r="BM179" s="265"/>
      <c r="BN179" s="265"/>
      <c r="BO179" s="265"/>
      <c r="BP179" s="265"/>
      <c r="BQ179" s="265"/>
      <c r="BR179" s="265"/>
    </row>
    <row r="180" spans="39:70" s="217" customFormat="1">
      <c r="AM180" s="265"/>
      <c r="AN180" s="265"/>
      <c r="AO180" s="265"/>
      <c r="AP180" s="265"/>
      <c r="AQ180" s="265"/>
      <c r="AR180" s="265"/>
      <c r="AS180" s="265"/>
      <c r="AT180" s="265"/>
      <c r="AU180" s="265"/>
      <c r="AV180" s="265"/>
      <c r="AW180" s="265"/>
      <c r="AX180" s="265"/>
      <c r="AY180" s="265"/>
      <c r="AZ180" s="265"/>
      <c r="BA180" s="265"/>
      <c r="BB180" s="265"/>
      <c r="BC180" s="265"/>
      <c r="BD180" s="265"/>
      <c r="BE180" s="265"/>
      <c r="BF180" s="265"/>
      <c r="BG180" s="265"/>
      <c r="BH180" s="265"/>
      <c r="BI180" s="265"/>
      <c r="BJ180" s="265"/>
      <c r="BK180" s="265"/>
      <c r="BL180" s="265"/>
      <c r="BM180" s="265"/>
      <c r="BN180" s="265"/>
      <c r="BO180" s="265"/>
      <c r="BP180" s="265"/>
      <c r="BQ180" s="265"/>
      <c r="BR180" s="265"/>
    </row>
    <row r="181" spans="39:70" s="217" customFormat="1">
      <c r="AM181" s="265"/>
      <c r="AN181" s="265"/>
      <c r="AO181" s="265"/>
      <c r="AP181" s="265"/>
      <c r="AQ181" s="265"/>
      <c r="AR181" s="265"/>
      <c r="AS181" s="265"/>
      <c r="AT181" s="265"/>
      <c r="AU181" s="265"/>
      <c r="AV181" s="265"/>
      <c r="AW181" s="265"/>
      <c r="AX181" s="265"/>
      <c r="AY181" s="265"/>
      <c r="AZ181" s="265"/>
      <c r="BA181" s="265"/>
      <c r="BB181" s="265"/>
      <c r="BC181" s="265"/>
      <c r="BD181" s="265"/>
      <c r="BE181" s="265"/>
      <c r="BF181" s="265"/>
      <c r="BG181" s="265"/>
      <c r="BH181" s="265"/>
      <c r="BI181" s="265"/>
      <c r="BJ181" s="265"/>
      <c r="BK181" s="265"/>
      <c r="BL181" s="265"/>
      <c r="BM181" s="265"/>
      <c r="BN181" s="265"/>
      <c r="BO181" s="265"/>
      <c r="BP181" s="265"/>
      <c r="BQ181" s="265"/>
      <c r="BR181" s="265"/>
    </row>
    <row r="182" spans="39:70" s="217" customFormat="1">
      <c r="AM182" s="265"/>
      <c r="AN182" s="265"/>
      <c r="AO182" s="265"/>
      <c r="AP182" s="265"/>
      <c r="AQ182" s="265"/>
      <c r="AR182" s="265"/>
      <c r="AS182" s="265"/>
      <c r="AT182" s="265"/>
      <c r="AU182" s="265"/>
      <c r="AV182" s="265"/>
      <c r="AW182" s="265"/>
      <c r="AX182" s="265"/>
      <c r="AY182" s="265"/>
      <c r="AZ182" s="265"/>
      <c r="BA182" s="265"/>
      <c r="BB182" s="265"/>
      <c r="BC182" s="265"/>
      <c r="BD182" s="265"/>
      <c r="BE182" s="265"/>
      <c r="BF182" s="265"/>
      <c r="BG182" s="265"/>
      <c r="BH182" s="265"/>
      <c r="BI182" s="265"/>
      <c r="BJ182" s="265"/>
      <c r="BK182" s="265"/>
      <c r="BL182" s="265"/>
      <c r="BM182" s="265"/>
      <c r="BN182" s="265"/>
      <c r="BO182" s="265"/>
      <c r="BP182" s="265"/>
      <c r="BQ182" s="265"/>
      <c r="BR182" s="265"/>
    </row>
    <row r="183" spans="39:70" s="217" customFormat="1">
      <c r="AM183" s="265"/>
      <c r="AN183" s="265"/>
      <c r="AO183" s="265"/>
      <c r="AP183" s="265"/>
      <c r="AQ183" s="265"/>
      <c r="AR183" s="265"/>
      <c r="AS183" s="265"/>
      <c r="AT183" s="265"/>
      <c r="AU183" s="265"/>
      <c r="AV183" s="265"/>
      <c r="AW183" s="265"/>
      <c r="AX183" s="265"/>
      <c r="AY183" s="265"/>
      <c r="AZ183" s="265"/>
      <c r="BA183" s="265"/>
      <c r="BB183" s="265"/>
      <c r="BC183" s="265"/>
      <c r="BD183" s="265"/>
      <c r="BE183" s="265"/>
      <c r="BF183" s="265"/>
      <c r="BG183" s="265"/>
      <c r="BH183" s="265"/>
      <c r="BI183" s="265"/>
      <c r="BJ183" s="265"/>
      <c r="BK183" s="265"/>
      <c r="BL183" s="265"/>
      <c r="BM183" s="265"/>
      <c r="BN183" s="265"/>
      <c r="BO183" s="265"/>
      <c r="BP183" s="265"/>
      <c r="BQ183" s="265"/>
      <c r="BR183" s="265"/>
    </row>
    <row r="184" spans="39:70" s="217" customFormat="1">
      <c r="AM184" s="265"/>
      <c r="AN184" s="265"/>
      <c r="AO184" s="265"/>
      <c r="AP184" s="265"/>
      <c r="AQ184" s="265"/>
      <c r="AR184" s="265"/>
      <c r="AS184" s="265"/>
      <c r="AT184" s="265"/>
      <c r="AU184" s="265"/>
      <c r="AV184" s="265"/>
      <c r="AW184" s="265"/>
      <c r="AX184" s="265"/>
      <c r="AY184" s="265"/>
      <c r="AZ184" s="265"/>
      <c r="BA184" s="265"/>
      <c r="BB184" s="265"/>
      <c r="BC184" s="265"/>
      <c r="BD184" s="265"/>
      <c r="BE184" s="265"/>
      <c r="BF184" s="265"/>
      <c r="BG184" s="265"/>
      <c r="BH184" s="265"/>
      <c r="BI184" s="265"/>
      <c r="BJ184" s="265"/>
      <c r="BK184" s="265"/>
      <c r="BL184" s="265"/>
      <c r="BM184" s="265"/>
      <c r="BN184" s="265"/>
      <c r="BO184" s="265"/>
      <c r="BP184" s="265"/>
      <c r="BQ184" s="265"/>
      <c r="BR184" s="265"/>
    </row>
    <row r="185" spans="39:70" s="217" customFormat="1">
      <c r="AM185" s="265"/>
      <c r="AN185" s="265"/>
      <c r="AO185" s="265"/>
      <c r="AP185" s="265"/>
      <c r="AQ185" s="265"/>
      <c r="AR185" s="265"/>
      <c r="AS185" s="265"/>
      <c r="AT185" s="265"/>
      <c r="AU185" s="265"/>
      <c r="AV185" s="265"/>
      <c r="AW185" s="265"/>
      <c r="AX185" s="265"/>
      <c r="AY185" s="265"/>
      <c r="AZ185" s="265"/>
      <c r="BA185" s="265"/>
      <c r="BB185" s="265"/>
      <c r="BC185" s="265"/>
      <c r="BD185" s="265"/>
      <c r="BE185" s="265"/>
      <c r="BF185" s="265"/>
      <c r="BG185" s="265"/>
      <c r="BH185" s="265"/>
      <c r="BI185" s="265"/>
      <c r="BJ185" s="265"/>
      <c r="BK185" s="265"/>
      <c r="BL185" s="265"/>
      <c r="BM185" s="265"/>
      <c r="BN185" s="265"/>
      <c r="BO185" s="265"/>
      <c r="BP185" s="265"/>
      <c r="BQ185" s="265"/>
      <c r="BR185" s="265"/>
    </row>
    <row r="186" spans="39:70" s="217" customFormat="1">
      <c r="AM186" s="265"/>
      <c r="AN186" s="265"/>
      <c r="AO186" s="265"/>
      <c r="AP186" s="265"/>
      <c r="AQ186" s="265"/>
      <c r="AR186" s="265"/>
      <c r="AS186" s="265"/>
      <c r="AT186" s="265"/>
      <c r="AU186" s="265"/>
      <c r="AV186" s="265"/>
      <c r="AW186" s="265"/>
      <c r="AX186" s="265"/>
      <c r="AY186" s="265"/>
      <c r="AZ186" s="265"/>
      <c r="BA186" s="265"/>
      <c r="BB186" s="265"/>
      <c r="BC186" s="265"/>
      <c r="BD186" s="265"/>
      <c r="BE186" s="265"/>
      <c r="BF186" s="265"/>
      <c r="BG186" s="265"/>
      <c r="BH186" s="265"/>
      <c r="BI186" s="265"/>
      <c r="BJ186" s="265"/>
      <c r="BK186" s="265"/>
      <c r="BL186" s="265"/>
      <c r="BM186" s="265"/>
      <c r="BN186" s="265"/>
      <c r="BO186" s="265"/>
      <c r="BP186" s="265"/>
      <c r="BQ186" s="265"/>
      <c r="BR186" s="265"/>
    </row>
    <row r="187" spans="39:70" s="217" customFormat="1">
      <c r="AM187" s="265"/>
      <c r="AN187" s="265"/>
      <c r="AO187" s="265"/>
      <c r="AP187" s="265"/>
      <c r="AQ187" s="265"/>
      <c r="AR187" s="265"/>
      <c r="AS187" s="265"/>
      <c r="AT187" s="265"/>
      <c r="AU187" s="265"/>
      <c r="AV187" s="265"/>
      <c r="AW187" s="265"/>
      <c r="AX187" s="265"/>
      <c r="AY187" s="265"/>
      <c r="AZ187" s="265"/>
      <c r="BA187" s="265"/>
      <c r="BB187" s="265"/>
      <c r="BC187" s="265"/>
      <c r="BD187" s="265"/>
      <c r="BE187" s="265"/>
      <c r="BF187" s="265"/>
      <c r="BG187" s="265"/>
      <c r="BH187" s="265"/>
      <c r="BI187" s="265"/>
      <c r="BJ187" s="265"/>
      <c r="BK187" s="265"/>
      <c r="BL187" s="265"/>
      <c r="BM187" s="265"/>
      <c r="BN187" s="265"/>
      <c r="BO187" s="265"/>
      <c r="BP187" s="265"/>
      <c r="BQ187" s="265"/>
      <c r="BR187" s="265"/>
    </row>
    <row r="188" spans="39:70" s="217" customFormat="1">
      <c r="AM188" s="265"/>
      <c r="AN188" s="265"/>
      <c r="AO188" s="265"/>
      <c r="AP188" s="265"/>
      <c r="AQ188" s="265"/>
      <c r="AR188" s="265"/>
      <c r="AS188" s="265"/>
      <c r="AT188" s="265"/>
      <c r="AU188" s="265"/>
      <c r="AV188" s="265"/>
      <c r="AW188" s="265"/>
      <c r="AX188" s="265"/>
      <c r="AY188" s="265"/>
      <c r="AZ188" s="265"/>
      <c r="BA188" s="265"/>
      <c r="BB188" s="265"/>
      <c r="BC188" s="265"/>
      <c r="BD188" s="265"/>
      <c r="BE188" s="265"/>
      <c r="BF188" s="265"/>
      <c r="BG188" s="265"/>
      <c r="BH188" s="265"/>
      <c r="BI188" s="265"/>
      <c r="BJ188" s="265"/>
      <c r="BK188" s="265"/>
      <c r="BL188" s="265"/>
      <c r="BM188" s="265"/>
      <c r="BN188" s="265"/>
      <c r="BO188" s="265"/>
      <c r="BP188" s="265"/>
      <c r="BQ188" s="265"/>
      <c r="BR188" s="265"/>
    </row>
    <row r="189" spans="39:70" s="217" customFormat="1">
      <c r="AM189" s="265"/>
      <c r="AN189" s="265"/>
      <c r="AO189" s="265"/>
      <c r="AP189" s="265"/>
      <c r="AQ189" s="265"/>
      <c r="AR189" s="265"/>
      <c r="AS189" s="265"/>
      <c r="AT189" s="265"/>
      <c r="AU189" s="265"/>
      <c r="AV189" s="265"/>
      <c r="AW189" s="265"/>
      <c r="AX189" s="265"/>
      <c r="AY189" s="265"/>
      <c r="AZ189" s="265"/>
      <c r="BA189" s="265"/>
      <c r="BB189" s="265"/>
      <c r="BC189" s="265"/>
      <c r="BD189" s="265"/>
      <c r="BE189" s="265"/>
      <c r="BF189" s="265"/>
      <c r="BG189" s="265"/>
      <c r="BH189" s="265"/>
      <c r="BI189" s="265"/>
      <c r="BJ189" s="265"/>
      <c r="BK189" s="265"/>
      <c r="BL189" s="265"/>
      <c r="BM189" s="265"/>
      <c r="BN189" s="265"/>
      <c r="BO189" s="265"/>
      <c r="BP189" s="265"/>
      <c r="BQ189" s="265"/>
      <c r="BR189" s="265"/>
    </row>
    <row r="190" spans="39:70" s="217" customFormat="1">
      <c r="AM190" s="265"/>
      <c r="AN190" s="265"/>
      <c r="AO190" s="265"/>
      <c r="AP190" s="265"/>
      <c r="AQ190" s="265"/>
      <c r="AR190" s="265"/>
      <c r="AS190" s="265"/>
      <c r="AT190" s="265"/>
      <c r="AU190" s="265"/>
      <c r="AV190" s="265"/>
      <c r="AW190" s="265"/>
      <c r="AX190" s="265"/>
      <c r="AY190" s="265"/>
      <c r="AZ190" s="265"/>
      <c r="BA190" s="265"/>
      <c r="BB190" s="265"/>
      <c r="BC190" s="265"/>
      <c r="BD190" s="265"/>
      <c r="BE190" s="265"/>
      <c r="BF190" s="265"/>
      <c r="BG190" s="265"/>
      <c r="BH190" s="265"/>
      <c r="BI190" s="265"/>
      <c r="BJ190" s="265"/>
      <c r="BK190" s="265"/>
      <c r="BL190" s="265"/>
      <c r="BM190" s="265"/>
      <c r="BN190" s="265"/>
      <c r="BO190" s="265"/>
      <c r="BP190" s="265"/>
      <c r="BQ190" s="265"/>
      <c r="BR190" s="265"/>
    </row>
    <row r="191" spans="39:70" s="217" customFormat="1">
      <c r="AM191" s="265"/>
      <c r="AN191" s="265"/>
      <c r="AO191" s="265"/>
      <c r="AP191" s="265"/>
      <c r="AQ191" s="265"/>
      <c r="AR191" s="265"/>
      <c r="AS191" s="265"/>
      <c r="AT191" s="265"/>
      <c r="AU191" s="265"/>
      <c r="AV191" s="265"/>
      <c r="AW191" s="265"/>
      <c r="AX191" s="265"/>
      <c r="AY191" s="265"/>
      <c r="AZ191" s="265"/>
      <c r="BA191" s="265"/>
      <c r="BB191" s="265"/>
      <c r="BC191" s="265"/>
      <c r="BD191" s="265"/>
      <c r="BE191" s="265"/>
      <c r="BF191" s="265"/>
      <c r="BG191" s="265"/>
      <c r="BH191" s="265"/>
      <c r="BI191" s="265"/>
      <c r="BJ191" s="265"/>
      <c r="BK191" s="265"/>
      <c r="BL191" s="265"/>
      <c r="BM191" s="265"/>
      <c r="BN191" s="265"/>
      <c r="BO191" s="265"/>
      <c r="BP191" s="265"/>
      <c r="BQ191" s="265"/>
      <c r="BR191" s="265"/>
    </row>
    <row r="192" spans="39:70" s="217" customFormat="1">
      <c r="AM192" s="265"/>
      <c r="AN192" s="265"/>
      <c r="AO192" s="265"/>
      <c r="AP192" s="265"/>
      <c r="AQ192" s="265"/>
      <c r="AR192" s="265"/>
      <c r="AS192" s="265"/>
      <c r="AT192" s="265"/>
      <c r="AU192" s="265"/>
      <c r="AV192" s="265"/>
      <c r="AW192" s="265"/>
      <c r="AX192" s="265"/>
      <c r="AY192" s="265"/>
      <c r="AZ192" s="265"/>
      <c r="BA192" s="265"/>
      <c r="BB192" s="265"/>
      <c r="BC192" s="265"/>
      <c r="BD192" s="265"/>
      <c r="BE192" s="265"/>
      <c r="BF192" s="265"/>
      <c r="BG192" s="265"/>
      <c r="BH192" s="265"/>
      <c r="BI192" s="265"/>
      <c r="BJ192" s="265"/>
      <c r="BK192" s="265"/>
      <c r="BL192" s="265"/>
      <c r="BM192" s="265"/>
      <c r="BN192" s="265"/>
      <c r="BO192" s="265"/>
      <c r="BP192" s="265"/>
      <c r="BQ192" s="265"/>
      <c r="BR192" s="265"/>
    </row>
    <row r="193" spans="39:70" s="217" customFormat="1">
      <c r="AM193" s="265"/>
      <c r="AN193" s="265"/>
      <c r="AO193" s="265"/>
      <c r="AP193" s="265"/>
      <c r="AQ193" s="265"/>
      <c r="AR193" s="265"/>
      <c r="AS193" s="265"/>
      <c r="AT193" s="265"/>
      <c r="AU193" s="265"/>
      <c r="AV193" s="265"/>
      <c r="AW193" s="265"/>
      <c r="AX193" s="265"/>
      <c r="AY193" s="265"/>
      <c r="AZ193" s="265"/>
      <c r="BA193" s="265"/>
      <c r="BB193" s="265"/>
      <c r="BC193" s="265"/>
      <c r="BD193" s="265"/>
      <c r="BE193" s="265"/>
      <c r="BF193" s="265"/>
      <c r="BG193" s="265"/>
      <c r="BH193" s="265"/>
      <c r="BI193" s="265"/>
      <c r="BJ193" s="265"/>
      <c r="BK193" s="265"/>
      <c r="BL193" s="265"/>
      <c r="BM193" s="265"/>
      <c r="BN193" s="265"/>
      <c r="BO193" s="265"/>
      <c r="BP193" s="265"/>
      <c r="BQ193" s="265"/>
      <c r="BR193" s="265"/>
    </row>
    <row r="194" spans="39:70" s="217" customFormat="1">
      <c r="AM194" s="265"/>
      <c r="AN194" s="265"/>
      <c r="AO194" s="265"/>
      <c r="AP194" s="265"/>
      <c r="AQ194" s="265"/>
      <c r="AR194" s="265"/>
      <c r="AS194" s="265"/>
      <c r="AT194" s="265"/>
      <c r="AU194" s="265"/>
      <c r="AV194" s="265"/>
      <c r="AW194" s="265"/>
      <c r="AX194" s="265"/>
      <c r="AY194" s="265"/>
      <c r="AZ194" s="265"/>
      <c r="BA194" s="265"/>
      <c r="BB194" s="265"/>
      <c r="BC194" s="265"/>
      <c r="BD194" s="265"/>
      <c r="BE194" s="265"/>
      <c r="BF194" s="265"/>
      <c r="BG194" s="265"/>
      <c r="BH194" s="265"/>
      <c r="BI194" s="265"/>
      <c r="BJ194" s="265"/>
      <c r="BK194" s="265"/>
      <c r="BL194" s="265"/>
      <c r="BM194" s="265"/>
      <c r="BN194" s="265"/>
      <c r="BO194" s="265"/>
      <c r="BP194" s="265"/>
      <c r="BQ194" s="265"/>
      <c r="BR194" s="265"/>
    </row>
    <row r="195" spans="39:70" s="217" customFormat="1">
      <c r="AM195" s="265"/>
      <c r="AN195" s="265"/>
      <c r="AO195" s="265"/>
      <c r="AP195" s="265"/>
      <c r="AQ195" s="265"/>
      <c r="AR195" s="265"/>
      <c r="AS195" s="265"/>
      <c r="AT195" s="265"/>
      <c r="AU195" s="265"/>
      <c r="AV195" s="265"/>
      <c r="AW195" s="265"/>
      <c r="AX195" s="265"/>
      <c r="AY195" s="265"/>
      <c r="AZ195" s="265"/>
      <c r="BA195" s="265"/>
      <c r="BB195" s="265"/>
      <c r="BC195" s="265"/>
      <c r="BD195" s="265"/>
      <c r="BE195" s="265"/>
      <c r="BF195" s="265"/>
      <c r="BG195" s="265"/>
      <c r="BH195" s="265"/>
      <c r="BI195" s="265"/>
      <c r="BJ195" s="265"/>
      <c r="BK195" s="265"/>
      <c r="BL195" s="265"/>
      <c r="BM195" s="265"/>
      <c r="BN195" s="265"/>
      <c r="BO195" s="265"/>
      <c r="BP195" s="265"/>
      <c r="BQ195" s="265"/>
      <c r="BR195" s="265"/>
    </row>
    <row r="196" spans="39:70" s="217" customFormat="1">
      <c r="AM196" s="265"/>
      <c r="AN196" s="265"/>
      <c r="AO196" s="265"/>
      <c r="AP196" s="265"/>
      <c r="AQ196" s="265"/>
      <c r="AR196" s="265"/>
      <c r="AS196" s="265"/>
      <c r="AT196" s="265"/>
      <c r="AU196" s="265"/>
      <c r="AV196" s="265"/>
      <c r="AW196" s="265"/>
      <c r="AX196" s="265"/>
      <c r="AY196" s="265"/>
      <c r="AZ196" s="265"/>
      <c r="BA196" s="265"/>
      <c r="BB196" s="265"/>
      <c r="BC196" s="265"/>
      <c r="BD196" s="265"/>
      <c r="BE196" s="265"/>
      <c r="BF196" s="265"/>
      <c r="BG196" s="265"/>
      <c r="BH196" s="265"/>
      <c r="BI196" s="265"/>
      <c r="BJ196" s="265"/>
      <c r="BK196" s="265"/>
      <c r="BL196" s="265"/>
      <c r="BM196" s="265"/>
      <c r="BN196" s="265"/>
      <c r="BO196" s="265"/>
      <c r="BP196" s="265"/>
      <c r="BQ196" s="265"/>
      <c r="BR196" s="265"/>
    </row>
    <row r="197" spans="39:70" s="217" customFormat="1">
      <c r="AM197" s="265"/>
      <c r="AN197" s="265"/>
      <c r="AO197" s="265"/>
      <c r="AP197" s="265"/>
      <c r="AQ197" s="265"/>
      <c r="AR197" s="265"/>
      <c r="AS197" s="265"/>
      <c r="AT197" s="265"/>
      <c r="AU197" s="265"/>
      <c r="AV197" s="265"/>
      <c r="AW197" s="265"/>
      <c r="AX197" s="265"/>
      <c r="AY197" s="265"/>
      <c r="AZ197" s="265"/>
      <c r="BA197" s="265"/>
      <c r="BB197" s="265"/>
      <c r="BC197" s="265"/>
      <c r="BD197" s="265"/>
      <c r="BE197" s="265"/>
      <c r="BF197" s="265"/>
      <c r="BG197" s="265"/>
      <c r="BH197" s="265"/>
      <c r="BI197" s="265"/>
      <c r="BJ197" s="265"/>
      <c r="BK197" s="265"/>
      <c r="BL197" s="265"/>
      <c r="BM197" s="265"/>
      <c r="BN197" s="265"/>
      <c r="BO197" s="265"/>
      <c r="BP197" s="265"/>
      <c r="BQ197" s="265"/>
      <c r="BR197" s="265"/>
    </row>
    <row r="198" spans="39:70" s="217" customFormat="1">
      <c r="AM198" s="265"/>
      <c r="AN198" s="265"/>
      <c r="AO198" s="265"/>
      <c r="AP198" s="265"/>
      <c r="AQ198" s="265"/>
      <c r="AR198" s="265"/>
      <c r="AS198" s="265"/>
      <c r="AT198" s="265"/>
      <c r="AU198" s="265"/>
      <c r="AV198" s="265"/>
      <c r="AW198" s="265"/>
      <c r="AX198" s="265"/>
      <c r="AY198" s="265"/>
      <c r="AZ198" s="265"/>
      <c r="BA198" s="265"/>
      <c r="BB198" s="265"/>
      <c r="BC198" s="265"/>
      <c r="BD198" s="265"/>
      <c r="BE198" s="265"/>
      <c r="BF198" s="265"/>
      <c r="BG198" s="265"/>
      <c r="BH198" s="265"/>
      <c r="BI198" s="265"/>
      <c r="BJ198" s="265"/>
      <c r="BK198" s="265"/>
      <c r="BL198" s="265"/>
      <c r="BM198" s="265"/>
      <c r="BN198" s="265"/>
      <c r="BO198" s="265"/>
      <c r="BP198" s="265"/>
      <c r="BQ198" s="265"/>
      <c r="BR198" s="265"/>
    </row>
    <row r="199" spans="39:70" s="217" customFormat="1">
      <c r="AM199" s="265"/>
      <c r="AN199" s="265"/>
      <c r="AO199" s="265"/>
      <c r="AP199" s="265"/>
      <c r="AQ199" s="265"/>
      <c r="AR199" s="265"/>
      <c r="AS199" s="265"/>
      <c r="AT199" s="265"/>
      <c r="AU199" s="265"/>
      <c r="AV199" s="265"/>
      <c r="AW199" s="265"/>
      <c r="AX199" s="265"/>
      <c r="AY199" s="265"/>
      <c r="AZ199" s="265"/>
      <c r="BA199" s="265"/>
      <c r="BB199" s="265"/>
      <c r="BC199" s="265"/>
      <c r="BD199" s="265"/>
      <c r="BE199" s="265"/>
      <c r="BF199" s="265"/>
      <c r="BG199" s="265"/>
      <c r="BH199" s="265"/>
      <c r="BI199" s="265"/>
      <c r="BJ199" s="265"/>
      <c r="BK199" s="265"/>
      <c r="BL199" s="265"/>
      <c r="BM199" s="265"/>
      <c r="BN199" s="265"/>
      <c r="BO199" s="265"/>
      <c r="BP199" s="265"/>
      <c r="BQ199" s="265"/>
      <c r="BR199" s="265"/>
    </row>
    <row r="200" spans="39:70" s="217" customFormat="1">
      <c r="AM200" s="265"/>
      <c r="AN200" s="265"/>
      <c r="AO200" s="265"/>
      <c r="AP200" s="265"/>
      <c r="AQ200" s="265"/>
      <c r="AR200" s="265"/>
      <c r="AS200" s="265"/>
      <c r="AT200" s="265"/>
      <c r="AU200" s="265"/>
      <c r="AV200" s="265"/>
      <c r="AW200" s="265"/>
      <c r="AX200" s="265"/>
      <c r="AY200" s="265"/>
      <c r="AZ200" s="265"/>
      <c r="BA200" s="265"/>
      <c r="BB200" s="265"/>
      <c r="BC200" s="265"/>
      <c r="BD200" s="265"/>
      <c r="BE200" s="265"/>
      <c r="BF200" s="265"/>
      <c r="BG200" s="265"/>
      <c r="BH200" s="265"/>
      <c r="BI200" s="265"/>
      <c r="BJ200" s="265"/>
      <c r="BK200" s="265"/>
      <c r="BL200" s="265"/>
      <c r="BM200" s="265"/>
      <c r="BN200" s="265"/>
      <c r="BO200" s="265"/>
      <c r="BP200" s="265"/>
      <c r="BQ200" s="265"/>
      <c r="BR200" s="265"/>
    </row>
    <row r="201" spans="39:70" s="217" customFormat="1">
      <c r="AM201" s="265"/>
      <c r="AN201" s="265"/>
      <c r="AO201" s="265"/>
      <c r="AP201" s="265"/>
      <c r="AQ201" s="265"/>
      <c r="AR201" s="265"/>
      <c r="AS201" s="265"/>
      <c r="AT201" s="265"/>
      <c r="AU201" s="265"/>
      <c r="AV201" s="265"/>
      <c r="AW201" s="265"/>
      <c r="AX201" s="265"/>
      <c r="AY201" s="265"/>
      <c r="AZ201" s="265"/>
      <c r="BA201" s="265"/>
      <c r="BB201" s="265"/>
      <c r="BC201" s="265"/>
      <c r="BD201" s="265"/>
      <c r="BE201" s="265"/>
      <c r="BF201" s="265"/>
      <c r="BG201" s="265"/>
      <c r="BH201" s="265"/>
      <c r="BI201" s="265"/>
      <c r="BJ201" s="265"/>
      <c r="BK201" s="265"/>
      <c r="BL201" s="265"/>
      <c r="BM201" s="265"/>
      <c r="BN201" s="265"/>
      <c r="BO201" s="265"/>
      <c r="BP201" s="265"/>
      <c r="BQ201" s="265"/>
      <c r="BR201" s="265"/>
    </row>
    <row r="202" spans="39:70" s="217" customFormat="1">
      <c r="AM202" s="265"/>
      <c r="AN202" s="265"/>
      <c r="AO202" s="265"/>
      <c r="AP202" s="265"/>
      <c r="AQ202" s="265"/>
      <c r="AR202" s="265"/>
      <c r="AS202" s="265"/>
      <c r="AT202" s="265"/>
      <c r="AU202" s="265"/>
      <c r="AV202" s="265"/>
      <c r="AW202" s="265"/>
      <c r="AX202" s="265"/>
      <c r="AY202" s="265"/>
      <c r="AZ202" s="265"/>
      <c r="BA202" s="265"/>
      <c r="BB202" s="265"/>
      <c r="BC202" s="265"/>
      <c r="BD202" s="265"/>
      <c r="BE202" s="265"/>
      <c r="BF202" s="265"/>
      <c r="BG202" s="265"/>
      <c r="BH202" s="265"/>
      <c r="BI202" s="265"/>
      <c r="BJ202" s="265"/>
      <c r="BK202" s="265"/>
      <c r="BL202" s="265"/>
      <c r="BM202" s="265"/>
      <c r="BN202" s="265"/>
      <c r="BO202" s="265"/>
      <c r="BP202" s="265"/>
      <c r="BQ202" s="265"/>
      <c r="BR202" s="265"/>
    </row>
    <row r="203" spans="39:70" s="217" customFormat="1">
      <c r="AM203" s="265"/>
      <c r="AN203" s="265"/>
      <c r="AO203" s="265"/>
      <c r="AP203" s="265"/>
      <c r="AQ203" s="265"/>
      <c r="AR203" s="265"/>
      <c r="AS203" s="265"/>
      <c r="AT203" s="265"/>
      <c r="AU203" s="265"/>
      <c r="AV203" s="265"/>
      <c r="AW203" s="265"/>
      <c r="AX203" s="265"/>
      <c r="AY203" s="265"/>
      <c r="AZ203" s="265"/>
      <c r="BA203" s="265"/>
      <c r="BB203" s="265"/>
      <c r="BC203" s="265"/>
      <c r="BD203" s="265"/>
      <c r="BE203" s="265"/>
      <c r="BF203" s="265"/>
      <c r="BG203" s="265"/>
      <c r="BH203" s="265"/>
      <c r="BI203" s="265"/>
      <c r="BJ203" s="265"/>
      <c r="BK203" s="265"/>
      <c r="BL203" s="265"/>
      <c r="BM203" s="265"/>
      <c r="BN203" s="265"/>
      <c r="BO203" s="265"/>
      <c r="BP203" s="265"/>
      <c r="BQ203" s="265"/>
      <c r="BR203" s="265"/>
    </row>
    <row r="204" spans="39:70" s="217" customFormat="1">
      <c r="AM204" s="265"/>
      <c r="AN204" s="265"/>
      <c r="AO204" s="265"/>
      <c r="AP204" s="265"/>
      <c r="AQ204" s="265"/>
      <c r="AR204" s="265"/>
      <c r="AS204" s="265"/>
      <c r="AT204" s="265"/>
      <c r="AU204" s="265"/>
      <c r="AV204" s="265"/>
      <c r="AW204" s="265"/>
      <c r="AX204" s="265"/>
      <c r="AY204" s="265"/>
      <c r="AZ204" s="265"/>
      <c r="BA204" s="265"/>
      <c r="BB204" s="265"/>
      <c r="BC204" s="265"/>
      <c r="BD204" s="265"/>
      <c r="BE204" s="265"/>
      <c r="BF204" s="265"/>
      <c r="BG204" s="265"/>
      <c r="BH204" s="265"/>
      <c r="BI204" s="265"/>
      <c r="BJ204" s="265"/>
      <c r="BK204" s="265"/>
      <c r="BL204" s="265"/>
      <c r="BM204" s="265"/>
      <c r="BN204" s="265"/>
      <c r="BO204" s="265"/>
      <c r="BP204" s="265"/>
      <c r="BQ204" s="265"/>
      <c r="BR204" s="265"/>
    </row>
    <row r="205" spans="39:70" s="217" customFormat="1">
      <c r="AM205" s="265"/>
      <c r="AN205" s="265"/>
      <c r="AO205" s="265"/>
      <c r="AP205" s="265"/>
      <c r="AQ205" s="265"/>
      <c r="AR205" s="265"/>
      <c r="AS205" s="265"/>
      <c r="AT205" s="265"/>
      <c r="AU205" s="265"/>
      <c r="AV205" s="265"/>
      <c r="AW205" s="265"/>
      <c r="AX205" s="265"/>
      <c r="AY205" s="265"/>
      <c r="AZ205" s="265"/>
      <c r="BA205" s="265"/>
      <c r="BB205" s="265"/>
      <c r="BC205" s="265"/>
      <c r="BD205" s="265"/>
      <c r="BE205" s="265"/>
      <c r="BF205" s="265"/>
      <c r="BG205" s="265"/>
      <c r="BH205" s="265"/>
      <c r="BI205" s="265"/>
      <c r="BJ205" s="265"/>
      <c r="BK205" s="265"/>
      <c r="BL205" s="265"/>
      <c r="BM205" s="265"/>
      <c r="BN205" s="265"/>
      <c r="BO205" s="265"/>
      <c r="BP205" s="265"/>
      <c r="BQ205" s="265"/>
      <c r="BR205" s="265"/>
    </row>
    <row r="206" spans="39:70" s="217" customFormat="1">
      <c r="AM206" s="265"/>
      <c r="AN206" s="265"/>
      <c r="AO206" s="265"/>
      <c r="AP206" s="265"/>
      <c r="AQ206" s="265"/>
      <c r="AR206" s="265"/>
      <c r="AS206" s="265"/>
      <c r="AT206" s="265"/>
      <c r="AU206" s="265"/>
      <c r="AV206" s="265"/>
      <c r="AW206" s="265"/>
      <c r="AX206" s="265"/>
      <c r="AY206" s="265"/>
      <c r="AZ206" s="265"/>
      <c r="BA206" s="265"/>
      <c r="BB206" s="265"/>
      <c r="BC206" s="265"/>
      <c r="BD206" s="265"/>
      <c r="BE206" s="265"/>
      <c r="BF206" s="265"/>
      <c r="BG206" s="265"/>
      <c r="BH206" s="265"/>
      <c r="BI206" s="265"/>
      <c r="BJ206" s="265"/>
      <c r="BK206" s="265"/>
      <c r="BL206" s="265"/>
      <c r="BM206" s="265"/>
      <c r="BN206" s="265"/>
      <c r="BO206" s="265"/>
      <c r="BP206" s="265"/>
      <c r="BQ206" s="265"/>
      <c r="BR206" s="265"/>
    </row>
    <row r="207" spans="39:70" s="217" customFormat="1">
      <c r="AM207" s="265"/>
      <c r="AN207" s="265"/>
      <c r="AO207" s="265"/>
      <c r="AP207" s="265"/>
      <c r="AQ207" s="265"/>
      <c r="AR207" s="265"/>
      <c r="AS207" s="265"/>
      <c r="AT207" s="265"/>
      <c r="AU207" s="265"/>
      <c r="AV207" s="265"/>
      <c r="AW207" s="265"/>
      <c r="AX207" s="265"/>
      <c r="AY207" s="265"/>
      <c r="AZ207" s="265"/>
      <c r="BA207" s="265"/>
      <c r="BB207" s="265"/>
      <c r="BC207" s="265"/>
      <c r="BD207" s="265"/>
      <c r="BE207" s="265"/>
      <c r="BF207" s="265"/>
      <c r="BG207" s="265"/>
      <c r="BH207" s="265"/>
      <c r="BI207" s="265"/>
      <c r="BJ207" s="265"/>
      <c r="BK207" s="265"/>
      <c r="BL207" s="265"/>
      <c r="BM207" s="265"/>
      <c r="BN207" s="265"/>
      <c r="BO207" s="265"/>
      <c r="BP207" s="265"/>
      <c r="BQ207" s="265"/>
      <c r="BR207" s="265"/>
    </row>
    <row r="208" spans="39:70" s="217" customFormat="1">
      <c r="AM208" s="265"/>
      <c r="AN208" s="265"/>
      <c r="AO208" s="265"/>
      <c r="AP208" s="265"/>
      <c r="AQ208" s="265"/>
      <c r="AR208" s="265"/>
      <c r="AS208" s="265"/>
      <c r="AT208" s="265"/>
      <c r="AU208" s="265"/>
      <c r="AV208" s="265"/>
      <c r="AW208" s="265"/>
      <c r="AX208" s="265"/>
      <c r="AY208" s="265"/>
      <c r="AZ208" s="265"/>
      <c r="BA208" s="265"/>
      <c r="BB208" s="265"/>
      <c r="BC208" s="265"/>
      <c r="BD208" s="265"/>
      <c r="BE208" s="265"/>
      <c r="BF208" s="265"/>
      <c r="BG208" s="265"/>
      <c r="BH208" s="265"/>
      <c r="BI208" s="265"/>
      <c r="BJ208" s="265"/>
      <c r="BK208" s="265"/>
      <c r="BL208" s="265"/>
      <c r="BM208" s="265"/>
      <c r="BN208" s="265"/>
      <c r="BO208" s="265"/>
      <c r="BP208" s="265"/>
      <c r="BQ208" s="265"/>
      <c r="BR208" s="265"/>
    </row>
    <row r="209" spans="39:70" s="217" customFormat="1">
      <c r="AM209" s="265"/>
      <c r="AN209" s="265"/>
      <c r="AO209" s="265"/>
      <c r="AP209" s="265"/>
      <c r="AQ209" s="265"/>
      <c r="AR209" s="265"/>
      <c r="AS209" s="265"/>
      <c r="AT209" s="265"/>
      <c r="AU209" s="265"/>
      <c r="AV209" s="265"/>
      <c r="AW209" s="265"/>
      <c r="AX209" s="265"/>
      <c r="AY209" s="265"/>
      <c r="AZ209" s="265"/>
      <c r="BA209" s="265"/>
      <c r="BB209" s="265"/>
      <c r="BC209" s="265"/>
      <c r="BD209" s="265"/>
      <c r="BE209" s="265"/>
      <c r="BF209" s="265"/>
      <c r="BG209" s="265"/>
      <c r="BH209" s="265"/>
      <c r="BI209" s="265"/>
      <c r="BJ209" s="265"/>
      <c r="BK209" s="265"/>
      <c r="BL209" s="265"/>
      <c r="BM209" s="265"/>
      <c r="BN209" s="265"/>
      <c r="BO209" s="265"/>
      <c r="BP209" s="265"/>
      <c r="BQ209" s="265"/>
      <c r="BR209" s="265"/>
    </row>
    <row r="210" spans="39:70" s="217" customFormat="1">
      <c r="AM210" s="265"/>
      <c r="AN210" s="265"/>
      <c r="AO210" s="265"/>
      <c r="AP210" s="265"/>
      <c r="AQ210" s="265"/>
      <c r="AR210" s="265"/>
      <c r="AS210" s="265"/>
      <c r="AT210" s="265"/>
      <c r="AU210" s="265"/>
      <c r="AV210" s="265"/>
      <c r="AW210" s="265"/>
      <c r="AX210" s="265"/>
      <c r="AY210" s="265"/>
      <c r="AZ210" s="265"/>
      <c r="BA210" s="265"/>
      <c r="BB210" s="265"/>
      <c r="BC210" s="265"/>
      <c r="BD210" s="265"/>
      <c r="BE210" s="265"/>
      <c r="BF210" s="265"/>
      <c r="BG210" s="265"/>
      <c r="BH210" s="265"/>
      <c r="BI210" s="265"/>
      <c r="BJ210" s="265"/>
      <c r="BK210" s="265"/>
      <c r="BL210" s="265"/>
      <c r="BM210" s="265"/>
      <c r="BN210" s="265"/>
      <c r="BO210" s="265"/>
      <c r="BP210" s="265"/>
      <c r="BQ210" s="265"/>
      <c r="BR210" s="265"/>
    </row>
    <row r="211" spans="39:70" s="217" customFormat="1">
      <c r="AM211" s="265"/>
      <c r="AN211" s="265"/>
      <c r="AO211" s="265"/>
      <c r="AP211" s="265"/>
      <c r="AQ211" s="265"/>
      <c r="AR211" s="265"/>
      <c r="AS211" s="265"/>
      <c r="AT211" s="265"/>
      <c r="AU211" s="265"/>
      <c r="AV211" s="265"/>
      <c r="AW211" s="265"/>
      <c r="AX211" s="265"/>
      <c r="AY211" s="265"/>
      <c r="AZ211" s="265"/>
      <c r="BA211" s="265"/>
      <c r="BB211" s="265"/>
      <c r="BC211" s="265"/>
      <c r="BD211" s="265"/>
      <c r="BE211" s="265"/>
      <c r="BF211" s="265"/>
      <c r="BG211" s="265"/>
      <c r="BH211" s="265"/>
      <c r="BI211" s="265"/>
      <c r="BJ211" s="265"/>
      <c r="BK211" s="265"/>
      <c r="BL211" s="265"/>
      <c r="BM211" s="265"/>
      <c r="BN211" s="265"/>
      <c r="BO211" s="265"/>
      <c r="BP211" s="265"/>
      <c r="BQ211" s="265"/>
      <c r="BR211" s="265"/>
    </row>
    <row r="212" spans="39:70" s="217" customFormat="1">
      <c r="AM212" s="265"/>
      <c r="AN212" s="265"/>
      <c r="AO212" s="265"/>
      <c r="AP212" s="265"/>
      <c r="AQ212" s="265"/>
      <c r="AR212" s="265"/>
      <c r="AS212" s="265"/>
      <c r="AT212" s="265"/>
      <c r="AU212" s="265"/>
      <c r="AV212" s="265"/>
      <c r="AW212" s="265"/>
      <c r="AX212" s="265"/>
      <c r="AY212" s="265"/>
      <c r="AZ212" s="265"/>
      <c r="BA212" s="265"/>
      <c r="BB212" s="265"/>
      <c r="BC212" s="265"/>
      <c r="BD212" s="265"/>
      <c r="BE212" s="265"/>
      <c r="BF212" s="265"/>
      <c r="BG212" s="265"/>
      <c r="BH212" s="265"/>
      <c r="BI212" s="265"/>
      <c r="BJ212" s="265"/>
      <c r="BK212" s="265"/>
      <c r="BL212" s="265"/>
      <c r="BM212" s="265"/>
      <c r="BN212" s="265"/>
      <c r="BO212" s="265"/>
      <c r="BP212" s="265"/>
      <c r="BQ212" s="265"/>
      <c r="BR212" s="265"/>
    </row>
    <row r="213" spans="39:70" s="217" customFormat="1">
      <c r="AM213" s="261"/>
      <c r="AN213" s="261"/>
      <c r="AO213" s="261"/>
      <c r="AP213" s="261"/>
      <c r="AQ213" s="261"/>
      <c r="AR213" s="261"/>
      <c r="AS213" s="261"/>
      <c r="AT213" s="261"/>
      <c r="AU213" s="261"/>
      <c r="AV213" s="261"/>
      <c r="AW213" s="261"/>
      <c r="AX213" s="261"/>
      <c r="AY213" s="261"/>
      <c r="AZ213" s="261"/>
      <c r="BA213" s="261"/>
      <c r="BB213" s="261"/>
      <c r="BC213" s="261"/>
      <c r="BD213" s="261"/>
      <c r="BE213" s="261"/>
      <c r="BF213" s="261"/>
      <c r="BG213" s="261"/>
      <c r="BH213" s="261"/>
      <c r="BI213" s="261"/>
      <c r="BJ213" s="261"/>
      <c r="BK213" s="261"/>
      <c r="BL213" s="261"/>
      <c r="BM213" s="261"/>
      <c r="BN213" s="261"/>
      <c r="BO213" s="261"/>
      <c r="BP213" s="261"/>
      <c r="BQ213" s="261"/>
      <c r="BR213" s="261"/>
    </row>
    <row r="214" spans="39:70" s="217" customFormat="1">
      <c r="AM214" s="261"/>
      <c r="AN214" s="261"/>
      <c r="AO214" s="261"/>
      <c r="AP214" s="261"/>
      <c r="AQ214" s="261"/>
      <c r="AR214" s="261"/>
      <c r="AS214" s="261"/>
      <c r="AT214" s="261"/>
      <c r="AU214" s="261"/>
      <c r="AV214" s="261"/>
      <c r="AW214" s="261"/>
      <c r="AX214" s="261"/>
      <c r="AY214" s="261"/>
      <c r="AZ214" s="261"/>
      <c r="BA214" s="261"/>
      <c r="BB214" s="261"/>
      <c r="BC214" s="261"/>
      <c r="BD214" s="261"/>
      <c r="BE214" s="261"/>
      <c r="BF214" s="261"/>
      <c r="BG214" s="261"/>
      <c r="BH214" s="261"/>
      <c r="BI214" s="261"/>
      <c r="BJ214" s="261"/>
      <c r="BK214" s="261"/>
      <c r="BL214" s="261"/>
      <c r="BM214" s="261"/>
      <c r="BN214" s="261"/>
      <c r="BO214" s="261"/>
      <c r="BP214" s="261"/>
      <c r="BQ214" s="261"/>
      <c r="BR214" s="261"/>
    </row>
    <row r="215" spans="39:70" s="217" customFormat="1">
      <c r="AM215" s="261"/>
      <c r="AN215" s="261"/>
      <c r="AO215" s="261"/>
      <c r="AP215" s="261"/>
      <c r="AQ215" s="261"/>
      <c r="AR215" s="261"/>
      <c r="AS215" s="261"/>
      <c r="AT215" s="261"/>
      <c r="AU215" s="261"/>
      <c r="AV215" s="261"/>
      <c r="AW215" s="261"/>
      <c r="AX215" s="261"/>
      <c r="AY215" s="261"/>
      <c r="AZ215" s="261"/>
      <c r="BA215" s="261"/>
      <c r="BB215" s="261"/>
      <c r="BC215" s="261"/>
      <c r="BD215" s="261"/>
      <c r="BE215" s="261"/>
      <c r="BF215" s="261"/>
      <c r="BG215" s="261"/>
      <c r="BH215" s="261"/>
      <c r="BI215" s="261"/>
      <c r="BJ215" s="261"/>
      <c r="BK215" s="261"/>
      <c r="BL215" s="261"/>
      <c r="BM215" s="261"/>
      <c r="BN215" s="261"/>
      <c r="BO215" s="261"/>
      <c r="BP215" s="261"/>
      <c r="BQ215" s="261"/>
      <c r="BR215" s="261"/>
    </row>
    <row r="216" spans="39:70" s="217" customFormat="1">
      <c r="AM216" s="261"/>
      <c r="AN216" s="261"/>
      <c r="AO216" s="261"/>
      <c r="AP216" s="261"/>
      <c r="AQ216" s="261"/>
      <c r="AR216" s="261"/>
      <c r="AS216" s="261"/>
      <c r="AT216" s="261"/>
      <c r="AU216" s="261"/>
      <c r="AV216" s="261"/>
      <c r="AW216" s="261"/>
      <c r="AX216" s="261"/>
      <c r="AY216" s="261"/>
      <c r="AZ216" s="261"/>
      <c r="BA216" s="261"/>
      <c r="BB216" s="261"/>
      <c r="BC216" s="261"/>
      <c r="BD216" s="261"/>
      <c r="BE216" s="261"/>
      <c r="BF216" s="261"/>
      <c r="BG216" s="261"/>
      <c r="BH216" s="261"/>
      <c r="BI216" s="261"/>
      <c r="BJ216" s="261"/>
      <c r="BK216" s="261"/>
      <c r="BL216" s="261"/>
      <c r="BM216" s="261"/>
      <c r="BN216" s="261"/>
      <c r="BO216" s="261"/>
      <c r="BP216" s="261"/>
      <c r="BQ216" s="261"/>
      <c r="BR216" s="261"/>
    </row>
    <row r="217" spans="39:70" s="217" customFormat="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row>
    <row r="218" spans="39:70" s="217" customFormat="1">
      <c r="AM218" s="261"/>
      <c r="AN218" s="261"/>
      <c r="AO218" s="261"/>
      <c r="AP218" s="261"/>
      <c r="AQ218" s="261"/>
      <c r="AR218" s="261"/>
      <c r="AS218" s="261"/>
      <c r="AT218" s="261"/>
      <c r="AU218" s="261"/>
      <c r="AV218" s="261"/>
      <c r="AW218" s="261"/>
      <c r="AX218" s="261"/>
      <c r="AY218" s="261"/>
      <c r="AZ218" s="261"/>
      <c r="BA218" s="261"/>
      <c r="BB218" s="261"/>
      <c r="BC218" s="261"/>
      <c r="BD218" s="261"/>
      <c r="BE218" s="261"/>
      <c r="BF218" s="261"/>
      <c r="BG218" s="261"/>
      <c r="BH218" s="261"/>
      <c r="BI218" s="261"/>
      <c r="BJ218" s="261"/>
      <c r="BK218" s="261"/>
      <c r="BL218" s="261"/>
      <c r="BM218" s="261"/>
      <c r="BN218" s="261"/>
      <c r="BO218" s="261"/>
      <c r="BP218" s="261"/>
      <c r="BQ218" s="261"/>
      <c r="BR218" s="261"/>
    </row>
    <row r="219" spans="39:70" s="217" customFormat="1">
      <c r="AM219" s="261"/>
      <c r="AN219" s="261"/>
      <c r="AO219" s="261"/>
      <c r="AP219" s="261"/>
      <c r="AQ219" s="261"/>
      <c r="AR219" s="261"/>
      <c r="AS219" s="261"/>
      <c r="AT219" s="261"/>
      <c r="AU219" s="261"/>
      <c r="AV219" s="261"/>
      <c r="AW219" s="261"/>
      <c r="AX219" s="261"/>
      <c r="AY219" s="261"/>
      <c r="AZ219" s="261"/>
      <c r="BA219" s="261"/>
      <c r="BB219" s="261"/>
      <c r="BC219" s="261"/>
      <c r="BD219" s="261"/>
      <c r="BE219" s="261"/>
      <c r="BF219" s="261"/>
      <c r="BG219" s="261"/>
      <c r="BH219" s="261"/>
      <c r="BI219" s="261"/>
      <c r="BJ219" s="261"/>
      <c r="BK219" s="261"/>
      <c r="BL219" s="261"/>
      <c r="BM219" s="261"/>
      <c r="BN219" s="261"/>
      <c r="BO219" s="261"/>
      <c r="BP219" s="261"/>
      <c r="BQ219" s="261"/>
      <c r="BR219" s="261"/>
    </row>
    <row r="220" spans="39:70" s="217" customFormat="1">
      <c r="AM220" s="261"/>
      <c r="AN220" s="261"/>
      <c r="AO220" s="261"/>
      <c r="AP220" s="261"/>
      <c r="AQ220" s="261"/>
      <c r="AR220" s="261"/>
      <c r="AS220" s="261"/>
      <c r="AT220" s="261"/>
      <c r="AU220" s="261"/>
      <c r="AV220" s="261"/>
      <c r="AW220" s="261"/>
      <c r="AX220" s="261"/>
      <c r="AY220" s="261"/>
      <c r="AZ220" s="261"/>
      <c r="BA220" s="261"/>
      <c r="BB220" s="261"/>
      <c r="BC220" s="261"/>
      <c r="BD220" s="261"/>
      <c r="BE220" s="261"/>
      <c r="BF220" s="261"/>
      <c r="BG220" s="261"/>
      <c r="BH220" s="261"/>
      <c r="BI220" s="261"/>
      <c r="BJ220" s="261"/>
      <c r="BK220" s="261"/>
      <c r="BL220" s="261"/>
      <c r="BM220" s="261"/>
      <c r="BN220" s="261"/>
      <c r="BO220" s="261"/>
      <c r="BP220" s="261"/>
      <c r="BQ220" s="261"/>
      <c r="BR220" s="261"/>
    </row>
    <row r="221" spans="39:70" s="217" customFormat="1">
      <c r="AM221" s="261"/>
      <c r="AN221" s="261"/>
      <c r="AO221" s="261"/>
      <c r="AP221" s="261"/>
      <c r="AQ221" s="261"/>
      <c r="AR221" s="261"/>
      <c r="AS221" s="261"/>
      <c r="AT221" s="261"/>
      <c r="AU221" s="261"/>
      <c r="AV221" s="261"/>
      <c r="AW221" s="261"/>
      <c r="AX221" s="261"/>
      <c r="AY221" s="261"/>
      <c r="AZ221" s="261"/>
      <c r="BA221" s="261"/>
      <c r="BB221" s="261"/>
      <c r="BC221" s="261"/>
      <c r="BD221" s="261"/>
      <c r="BE221" s="261"/>
      <c r="BF221" s="261"/>
      <c r="BG221" s="261"/>
      <c r="BH221" s="261"/>
      <c r="BI221" s="261"/>
      <c r="BJ221" s="261"/>
      <c r="BK221" s="261"/>
      <c r="BL221" s="261"/>
      <c r="BM221" s="261"/>
      <c r="BN221" s="261"/>
      <c r="BO221" s="261"/>
      <c r="BP221" s="261"/>
      <c r="BQ221" s="261"/>
      <c r="BR221" s="261"/>
    </row>
    <row r="222" spans="39:70" s="217" customFormat="1">
      <c r="AM222" s="261"/>
      <c r="AN222" s="261"/>
      <c r="AO222" s="261"/>
      <c r="AP222" s="261"/>
      <c r="AQ222" s="261"/>
      <c r="AR222" s="261"/>
      <c r="AS222" s="261"/>
      <c r="AT222" s="261"/>
      <c r="AU222" s="261"/>
      <c r="AV222" s="261"/>
      <c r="AW222" s="261"/>
      <c r="AX222" s="261"/>
      <c r="AY222" s="261"/>
      <c r="AZ222" s="261"/>
      <c r="BA222" s="261"/>
      <c r="BB222" s="261"/>
      <c r="BC222" s="261"/>
      <c r="BD222" s="261"/>
      <c r="BE222" s="261"/>
      <c r="BF222" s="261"/>
      <c r="BG222" s="261"/>
      <c r="BH222" s="261"/>
      <c r="BI222" s="261"/>
      <c r="BJ222" s="261"/>
      <c r="BK222" s="261"/>
      <c r="BL222" s="261"/>
      <c r="BM222" s="261"/>
      <c r="BN222" s="261"/>
      <c r="BO222" s="261"/>
      <c r="BP222" s="261"/>
      <c r="BQ222" s="261"/>
      <c r="BR222" s="261"/>
    </row>
    <row r="223" spans="39:70" s="217" customFormat="1">
      <c r="AM223" s="261"/>
      <c r="AN223" s="261"/>
      <c r="AO223" s="261"/>
      <c r="AP223" s="261"/>
      <c r="AQ223" s="261"/>
      <c r="AR223" s="261"/>
      <c r="AS223" s="261"/>
      <c r="AT223" s="261"/>
      <c r="AU223" s="261"/>
      <c r="AV223" s="261"/>
      <c r="AW223" s="261"/>
      <c r="AX223" s="261"/>
      <c r="AY223" s="261"/>
      <c r="AZ223" s="261"/>
      <c r="BA223" s="261"/>
      <c r="BB223" s="261"/>
      <c r="BC223" s="261"/>
      <c r="BD223" s="261"/>
      <c r="BE223" s="261"/>
      <c r="BF223" s="261"/>
      <c r="BG223" s="261"/>
      <c r="BH223" s="261"/>
      <c r="BI223" s="261"/>
      <c r="BJ223" s="261"/>
      <c r="BK223" s="261"/>
      <c r="BL223" s="261"/>
      <c r="BM223" s="261"/>
      <c r="BN223" s="261"/>
      <c r="BO223" s="261"/>
      <c r="BP223" s="261"/>
      <c r="BQ223" s="261"/>
      <c r="BR223" s="261"/>
    </row>
    <row r="224" spans="39:70" s="217" customFormat="1">
      <c r="AM224" s="261"/>
      <c r="AN224" s="261"/>
      <c r="AO224" s="261"/>
      <c r="AP224" s="261"/>
      <c r="AQ224" s="261"/>
      <c r="AR224" s="261"/>
      <c r="AS224" s="261"/>
      <c r="AT224" s="261"/>
      <c r="AU224" s="261"/>
      <c r="AV224" s="261"/>
      <c r="AW224" s="261"/>
      <c r="AX224" s="261"/>
      <c r="AY224" s="261"/>
      <c r="AZ224" s="261"/>
      <c r="BA224" s="261"/>
      <c r="BB224" s="261"/>
      <c r="BC224" s="261"/>
      <c r="BD224" s="261"/>
      <c r="BE224" s="261"/>
      <c r="BF224" s="261"/>
      <c r="BG224" s="261"/>
      <c r="BH224" s="261"/>
      <c r="BI224" s="261"/>
      <c r="BJ224" s="261"/>
      <c r="BK224" s="261"/>
      <c r="BL224" s="261"/>
      <c r="BM224" s="261"/>
      <c r="BN224" s="261"/>
      <c r="BO224" s="261"/>
      <c r="BP224" s="261"/>
      <c r="BQ224" s="261"/>
      <c r="BR224" s="261"/>
    </row>
    <row r="225" s="217" customFormat="1"/>
    <row r="226" s="217" customFormat="1"/>
    <row r="227" s="217" customFormat="1"/>
    <row r="228" s="217" customFormat="1"/>
    <row r="229" s="217" customFormat="1"/>
    <row r="230" s="217" customFormat="1"/>
    <row r="231" s="217" customFormat="1"/>
    <row r="232" s="217" customFormat="1"/>
    <row r="233" s="217" customFormat="1"/>
    <row r="234" s="217" customFormat="1"/>
    <row r="235" s="217" customFormat="1"/>
    <row r="236" s="217" customFormat="1"/>
    <row r="237" s="217" customFormat="1"/>
    <row r="238" s="217" customFormat="1"/>
    <row r="239" s="217" customFormat="1"/>
    <row r="240" s="217" customFormat="1"/>
    <row r="241" s="217" customFormat="1"/>
    <row r="242" s="217" customFormat="1"/>
    <row r="243" s="217" customFormat="1"/>
    <row r="244" s="217" customFormat="1"/>
    <row r="245" s="217" customFormat="1"/>
    <row r="246" s="217" customFormat="1"/>
    <row r="247" s="217" customFormat="1"/>
    <row r="248" s="217" customFormat="1"/>
    <row r="249" s="217" customFormat="1"/>
    <row r="250" s="217" customFormat="1"/>
    <row r="251" s="217" customFormat="1"/>
    <row r="252" s="217" customFormat="1"/>
    <row r="253" s="217" customFormat="1"/>
    <row r="254" s="217" customFormat="1"/>
    <row r="255" s="217" customFormat="1"/>
    <row r="256" s="217" customFormat="1"/>
    <row r="257" s="217" customFormat="1"/>
    <row r="258" s="217" customFormat="1"/>
    <row r="259" s="217" customFormat="1"/>
    <row r="260" s="217" customFormat="1"/>
    <row r="261" s="217" customFormat="1"/>
    <row r="262" s="217" customFormat="1"/>
    <row r="263" s="217" customFormat="1"/>
    <row r="264" s="217" customFormat="1"/>
    <row r="265" s="217" customFormat="1"/>
    <row r="266" s="217" customFormat="1"/>
    <row r="267" s="217" customFormat="1"/>
    <row r="268" s="217" customFormat="1"/>
    <row r="269" s="217" customFormat="1"/>
    <row r="270" s="217" customFormat="1"/>
    <row r="271" s="217" customFormat="1"/>
    <row r="272" s="217" customFormat="1"/>
    <row r="273" s="217" customFormat="1"/>
    <row r="274" s="217" customFormat="1"/>
    <row r="275" s="217" customFormat="1"/>
    <row r="276" s="217" customFormat="1"/>
    <row r="277" s="217" customFormat="1"/>
    <row r="278" s="217" customFormat="1"/>
    <row r="279" s="217" customFormat="1"/>
    <row r="280" s="217" customFormat="1"/>
    <row r="281" s="217" customFormat="1"/>
    <row r="282" s="217" customFormat="1"/>
    <row r="283" s="217" customFormat="1"/>
    <row r="284" s="217" customFormat="1"/>
    <row r="285" s="217" customFormat="1"/>
    <row r="286" s="217" customFormat="1"/>
    <row r="287" s="217" customFormat="1"/>
    <row r="288" s="217" customFormat="1"/>
    <row r="289" s="217" customFormat="1"/>
    <row r="290" s="217" customFormat="1"/>
    <row r="291" s="217" customFormat="1"/>
    <row r="292" s="217" customFormat="1"/>
    <row r="293" s="217" customFormat="1"/>
    <row r="294" s="217" customFormat="1"/>
    <row r="295" s="217" customFormat="1"/>
    <row r="296" s="217" customFormat="1"/>
    <row r="297" s="217" customFormat="1"/>
    <row r="298" s="217" customFormat="1"/>
    <row r="299" s="217" customFormat="1"/>
    <row r="300" s="217" customFormat="1"/>
    <row r="301" s="217" customFormat="1"/>
    <row r="302" s="217" customFormat="1"/>
    <row r="303" s="217" customFormat="1"/>
    <row r="304" s="217" customFormat="1"/>
    <row r="305" s="217" customFormat="1"/>
    <row r="306" s="217" customFormat="1"/>
    <row r="307" s="217" customFormat="1"/>
    <row r="308" s="217" customFormat="1"/>
    <row r="309" s="217" customFormat="1"/>
    <row r="310" s="217" customFormat="1"/>
    <row r="311" s="217" customFormat="1"/>
    <row r="312" s="217" customFormat="1"/>
    <row r="313" s="217" customFormat="1"/>
    <row r="314" s="217" customFormat="1"/>
    <row r="315" s="217" customFormat="1"/>
    <row r="316" s="217" customFormat="1"/>
    <row r="317" s="217" customFormat="1"/>
    <row r="318" s="217" customFormat="1"/>
    <row r="319" s="217" customFormat="1"/>
    <row r="320" s="217" customFormat="1"/>
    <row r="321" s="217" customFormat="1"/>
    <row r="322" s="217" customFormat="1"/>
    <row r="323" s="217" customFormat="1"/>
    <row r="324" s="217" customFormat="1"/>
    <row r="325" s="217" customFormat="1"/>
    <row r="326" s="217" customFormat="1"/>
    <row r="327" s="217" customFormat="1"/>
    <row r="328" s="217" customFormat="1"/>
    <row r="329" s="217" customFormat="1"/>
    <row r="330" s="217" customFormat="1"/>
    <row r="331" s="217" customFormat="1"/>
    <row r="332" s="217" customFormat="1"/>
    <row r="333" s="217" customFormat="1"/>
    <row r="334" s="217" customFormat="1"/>
    <row r="335" s="217" customFormat="1"/>
    <row r="336" s="217" customFormat="1"/>
    <row r="337" s="217" customFormat="1"/>
    <row r="338" s="217" customFormat="1"/>
    <row r="339" s="217" customFormat="1"/>
    <row r="340" s="217" customFormat="1"/>
    <row r="341" s="217" customFormat="1"/>
    <row r="342" s="217" customFormat="1"/>
    <row r="343" s="217" customFormat="1"/>
    <row r="344" s="217" customFormat="1"/>
    <row r="345" s="217" customFormat="1"/>
    <row r="346" s="217" customFormat="1"/>
    <row r="347" s="217" customFormat="1"/>
    <row r="348" s="217" customFormat="1"/>
    <row r="349" s="217" customFormat="1"/>
    <row r="350" s="217" customFormat="1"/>
    <row r="351" s="217" customFormat="1"/>
    <row r="352" s="217" customFormat="1"/>
    <row r="353" s="217" customFormat="1"/>
    <row r="354" s="217" customFormat="1"/>
    <row r="355" s="217" customFormat="1"/>
    <row r="356" s="217" customFormat="1"/>
    <row r="357" s="217" customFormat="1"/>
    <row r="358" s="217" customFormat="1"/>
    <row r="359" s="217" customFormat="1"/>
    <row r="360" s="217" customFormat="1"/>
    <row r="361" s="217" customFormat="1"/>
    <row r="362" s="217" customFormat="1"/>
    <row r="363" s="217" customFormat="1"/>
    <row r="364" s="217" customFormat="1"/>
    <row r="365" s="217" customFormat="1"/>
    <row r="366" s="217" customFormat="1"/>
    <row r="367" s="217" customFormat="1"/>
    <row r="368" s="217" customFormat="1"/>
    <row r="369" s="217" customFormat="1"/>
    <row r="370" s="217" customFormat="1"/>
    <row r="371" s="217" customFormat="1"/>
    <row r="372" s="217" customFormat="1"/>
    <row r="373" s="217" customFormat="1"/>
    <row r="374" s="217" customFormat="1"/>
    <row r="375" s="217" customFormat="1"/>
    <row r="376" s="217" customFormat="1"/>
    <row r="377" s="217" customFormat="1"/>
    <row r="378" s="217" customFormat="1"/>
    <row r="379" s="217" customFormat="1"/>
    <row r="380" s="217" customFormat="1"/>
    <row r="381" s="217" customFormat="1"/>
    <row r="382" s="217" customFormat="1"/>
    <row r="383" s="217" customFormat="1"/>
    <row r="384" s="217" customFormat="1"/>
    <row r="385" s="217" customFormat="1"/>
    <row r="386" s="217" customFormat="1"/>
    <row r="387" s="217" customFormat="1"/>
    <row r="388" s="217" customFormat="1"/>
    <row r="389" s="217" customFormat="1"/>
    <row r="390" s="217" customFormat="1"/>
    <row r="391" s="217" customFormat="1"/>
    <row r="392" s="217" customFormat="1"/>
    <row r="393" s="217" customFormat="1"/>
    <row r="394" s="217" customFormat="1"/>
    <row r="395" s="217" customFormat="1"/>
    <row r="396" s="217" customFormat="1"/>
    <row r="397" s="217" customFormat="1"/>
    <row r="398" s="217" customFormat="1"/>
    <row r="399" s="217" customFormat="1"/>
    <row r="400" s="217" customFormat="1"/>
    <row r="401" s="217" customFormat="1"/>
    <row r="402" s="217" customFormat="1"/>
    <row r="403" s="217" customFormat="1"/>
    <row r="404" s="217" customFormat="1"/>
    <row r="405" s="217" customFormat="1"/>
    <row r="406" s="217" customFormat="1"/>
    <row r="407" s="217" customFormat="1"/>
    <row r="408" s="217" customFormat="1"/>
    <row r="409" s="217" customFormat="1"/>
    <row r="410" s="217" customFormat="1"/>
    <row r="411" s="217" customFormat="1"/>
    <row r="412" s="217" customFormat="1"/>
    <row r="413" s="217" customFormat="1"/>
    <row r="414" s="217" customFormat="1"/>
    <row r="415" s="217" customFormat="1"/>
    <row r="416" s="217" customFormat="1"/>
    <row r="417" s="217" customFormat="1"/>
    <row r="418" s="217" customFormat="1"/>
    <row r="419" s="217" customFormat="1"/>
    <row r="420" s="217" customFormat="1"/>
    <row r="421" s="217" customFormat="1"/>
    <row r="422" s="217" customFormat="1"/>
    <row r="423" s="217" customFormat="1"/>
    <row r="424" s="217" customFormat="1"/>
    <row r="425" s="217" customFormat="1"/>
    <row r="426" s="217" customFormat="1"/>
    <row r="427" s="217" customFormat="1"/>
    <row r="428" s="217" customFormat="1"/>
    <row r="429" s="217" customFormat="1"/>
    <row r="430" s="217" customFormat="1"/>
    <row r="431" s="217" customFormat="1"/>
    <row r="432" s="217" customFormat="1"/>
    <row r="433" s="217" customFormat="1"/>
    <row r="434" s="217" customFormat="1"/>
    <row r="435" s="217" customFormat="1"/>
    <row r="436" s="217" customFormat="1"/>
    <row r="437" s="217" customFormat="1"/>
    <row r="438" s="217" customFormat="1"/>
    <row r="439" s="217" customFormat="1"/>
    <row r="440" s="217" customFormat="1"/>
    <row r="441" s="217" customFormat="1"/>
    <row r="442" s="217" customFormat="1"/>
    <row r="443" s="217" customFormat="1"/>
    <row r="444" s="217" customFormat="1"/>
    <row r="445" s="217" customFormat="1"/>
    <row r="446" s="217" customFormat="1"/>
    <row r="447" s="217" customFormat="1"/>
    <row r="448" s="217" customFormat="1"/>
    <row r="449" s="217" customFormat="1"/>
    <row r="450" s="217" customFormat="1"/>
    <row r="451" s="217" customFormat="1"/>
    <row r="452" s="217" customFormat="1"/>
    <row r="453" s="217" customFormat="1"/>
    <row r="454" s="217" customFormat="1"/>
    <row r="455" s="217" customFormat="1"/>
    <row r="456" s="217" customFormat="1"/>
    <row r="457" s="217" customFormat="1"/>
    <row r="458" s="217" customFormat="1"/>
    <row r="459" s="217" customFormat="1"/>
    <row r="460" s="217" customFormat="1"/>
    <row r="461" s="217" customFormat="1"/>
    <row r="462" s="217" customFormat="1"/>
    <row r="463" s="217" customFormat="1"/>
    <row r="464" s="217" customFormat="1"/>
    <row r="465" s="217" customFormat="1"/>
    <row r="466" s="217" customFormat="1"/>
    <row r="467" s="217" customFormat="1"/>
    <row r="468" s="217" customFormat="1"/>
    <row r="469" s="217" customFormat="1"/>
    <row r="470" s="217" customFormat="1"/>
    <row r="471" s="217" customFormat="1"/>
    <row r="472" s="217" customFormat="1"/>
    <row r="473" s="217" customFormat="1"/>
    <row r="474" s="217" customFormat="1"/>
    <row r="475" s="217" customFormat="1"/>
    <row r="476" s="217" customFormat="1"/>
    <row r="477" s="217" customFormat="1"/>
    <row r="478" s="217" customFormat="1"/>
    <row r="479" s="217" customFormat="1"/>
    <row r="480" s="217" customFormat="1"/>
    <row r="481" s="217" customFormat="1"/>
    <row r="482" s="217" customFormat="1"/>
    <row r="483" s="217" customFormat="1"/>
    <row r="484" s="217" customFormat="1"/>
    <row r="485" s="217" customFormat="1"/>
    <row r="486" s="217" customFormat="1"/>
    <row r="487" s="217" customFormat="1"/>
    <row r="488" s="217" customFormat="1"/>
    <row r="489" s="217" customFormat="1"/>
    <row r="490" s="217" customFormat="1"/>
    <row r="491" s="217" customFormat="1"/>
    <row r="492" s="217" customFormat="1"/>
    <row r="493" s="217" customFormat="1"/>
    <row r="494" s="217" customFormat="1"/>
    <row r="495" s="217" customFormat="1"/>
    <row r="496" s="217" customFormat="1"/>
    <row r="497" s="217" customFormat="1"/>
    <row r="498" s="217" customFormat="1"/>
    <row r="499" s="217" customFormat="1"/>
    <row r="500" s="217" customFormat="1"/>
    <row r="501" s="217" customFormat="1"/>
    <row r="502" s="217" customFormat="1"/>
    <row r="503" s="217" customFormat="1"/>
    <row r="504" s="217" customFormat="1"/>
    <row r="505" s="217" customFormat="1"/>
    <row r="506" s="217" customFormat="1"/>
    <row r="507" s="217" customFormat="1"/>
    <row r="508" s="217" customFormat="1"/>
    <row r="509" s="217" customFormat="1"/>
    <row r="510" s="217" customFormat="1"/>
    <row r="511" s="217" customFormat="1"/>
    <row r="512" s="217" customFormat="1"/>
    <row r="513" s="217" customFormat="1"/>
    <row r="514" s="217" customFormat="1"/>
    <row r="515" s="217" customFormat="1"/>
    <row r="516" s="217" customFormat="1"/>
    <row r="517" s="217" customFormat="1"/>
    <row r="518" s="217" customFormat="1"/>
    <row r="519" s="217" customFormat="1"/>
    <row r="520" s="217" customFormat="1"/>
    <row r="521" s="217" customFormat="1"/>
    <row r="522" s="217" customFormat="1"/>
    <row r="523" s="217" customFormat="1"/>
    <row r="524" s="217" customFormat="1"/>
    <row r="525" s="217" customFormat="1"/>
    <row r="526" s="217" customFormat="1"/>
    <row r="527" s="217" customFormat="1"/>
    <row r="528" s="217" customFormat="1"/>
    <row r="529" s="217" customFormat="1"/>
    <row r="530" s="217" customFormat="1"/>
    <row r="531" s="217" customFormat="1"/>
    <row r="532" s="217" customFormat="1"/>
    <row r="533" s="217" customFormat="1"/>
    <row r="534" s="217" customFormat="1"/>
    <row r="535" s="217" customFormat="1"/>
    <row r="536" s="217" customFormat="1"/>
    <row r="537" s="217" customFormat="1"/>
    <row r="538" s="217" customFormat="1"/>
    <row r="539" s="217" customFormat="1"/>
    <row r="540" s="217" customFormat="1"/>
    <row r="541" s="217" customFormat="1"/>
    <row r="542" s="217" customFormat="1"/>
    <row r="543" s="217" customFormat="1"/>
    <row r="544" s="217" customFormat="1"/>
    <row r="545" s="217" customFormat="1"/>
    <row r="546" s="217" customFormat="1"/>
    <row r="547" s="217" customFormat="1"/>
    <row r="548" s="217" customFormat="1"/>
    <row r="549" s="217" customFormat="1"/>
    <row r="550" s="217" customFormat="1"/>
    <row r="551" s="217" customFormat="1"/>
    <row r="552" s="217" customFormat="1"/>
    <row r="553" s="217" customFormat="1"/>
    <row r="554" s="217" customFormat="1"/>
    <row r="555" s="217" customFormat="1"/>
    <row r="556" s="217" customFormat="1"/>
    <row r="557" s="217" customFormat="1"/>
    <row r="558" s="217" customFormat="1"/>
    <row r="559" s="217" customFormat="1"/>
    <row r="560" s="217" customFormat="1"/>
    <row r="561" s="217" customFormat="1"/>
    <row r="562" s="217" customFormat="1"/>
    <row r="563" s="217" customFormat="1"/>
    <row r="564" s="217" customFormat="1"/>
    <row r="565" s="217" customFormat="1"/>
    <row r="566" s="217" customFormat="1"/>
    <row r="567" s="217" customFormat="1"/>
    <row r="568" s="217" customFormat="1"/>
    <row r="569" s="217" customFormat="1"/>
    <row r="570" s="217" customFormat="1"/>
    <row r="571" s="217" customFormat="1"/>
    <row r="572" s="217" customFormat="1"/>
    <row r="573" s="217" customFormat="1"/>
    <row r="574" s="217" customFormat="1"/>
    <row r="575" s="217" customFormat="1"/>
    <row r="576" s="217" customFormat="1"/>
    <row r="577" s="217" customFormat="1"/>
    <row r="578" s="217" customFormat="1"/>
    <row r="579" s="217" customFormat="1"/>
    <row r="580" s="217" customFormat="1"/>
    <row r="581" s="217" customFormat="1"/>
    <row r="582" s="217" customFormat="1"/>
    <row r="583" s="217" customFormat="1"/>
    <row r="584" s="217" customFormat="1"/>
    <row r="585" s="217" customFormat="1"/>
    <row r="586" s="217" customFormat="1"/>
    <row r="587" s="217" customFormat="1"/>
    <row r="588" s="217" customFormat="1"/>
    <row r="589" s="217" customFormat="1"/>
    <row r="590" s="217" customFormat="1"/>
    <row r="591" s="217" customFormat="1"/>
    <row r="592" s="217" customFormat="1"/>
    <row r="593" s="217" customFormat="1"/>
    <row r="594" s="217" customFormat="1"/>
    <row r="595" s="217" customFormat="1"/>
    <row r="596" s="217" customFormat="1"/>
    <row r="597" s="217" customFormat="1"/>
    <row r="598" s="217" customFormat="1"/>
    <row r="599" s="217" customFormat="1"/>
    <row r="600" s="217" customFormat="1"/>
    <row r="601" s="217" customFormat="1"/>
    <row r="602" s="217" customFormat="1"/>
    <row r="603" s="217" customFormat="1"/>
    <row r="604" s="217" customFormat="1"/>
    <row r="605" s="217" customFormat="1"/>
    <row r="606" s="217" customFormat="1"/>
    <row r="607" s="217" customFormat="1"/>
    <row r="608" s="217" customFormat="1"/>
    <row r="609" s="217" customFormat="1"/>
    <row r="610" s="217" customFormat="1"/>
    <row r="611" s="217" customFormat="1"/>
    <row r="612" s="217" customFormat="1"/>
    <row r="613" s="217" customFormat="1"/>
    <row r="614" s="217" customFormat="1"/>
    <row r="615" s="217" customFormat="1"/>
    <row r="616" s="217" customFormat="1"/>
    <row r="617" s="217" customFormat="1"/>
    <row r="618" s="217" customFormat="1"/>
    <row r="619" s="217" customFormat="1"/>
    <row r="620" s="217" customFormat="1"/>
    <row r="621" s="217" customFormat="1"/>
    <row r="622" s="217" customFormat="1"/>
    <row r="623" s="217" customFormat="1"/>
    <row r="624" s="217" customFormat="1"/>
    <row r="625" s="217" customFormat="1"/>
    <row r="626" s="217" customFormat="1"/>
    <row r="627" s="217" customFormat="1"/>
    <row r="628" s="217" customFormat="1"/>
    <row r="629" s="217" customFormat="1"/>
    <row r="630" s="217" customFormat="1"/>
    <row r="631" s="217" customFormat="1"/>
    <row r="632" s="217" customFormat="1"/>
    <row r="633" s="217" customFormat="1"/>
    <row r="634" s="217" customFormat="1"/>
    <row r="635" s="217" customFormat="1"/>
    <row r="636" s="217" customFormat="1"/>
    <row r="637" s="217" customFormat="1"/>
    <row r="638" s="217" customFormat="1"/>
    <row r="639" s="217" customFormat="1"/>
    <row r="640" s="217" customFormat="1"/>
    <row r="641" s="217" customFormat="1"/>
    <row r="642" s="217" customFormat="1"/>
    <row r="643" s="217" customFormat="1"/>
    <row r="644" s="217" customFormat="1"/>
    <row r="645" s="217" customFormat="1"/>
    <row r="646" s="217" customFormat="1"/>
    <row r="647" s="217" customFormat="1"/>
    <row r="648" s="217" customFormat="1"/>
    <row r="649" s="217" customFormat="1"/>
    <row r="650" s="217" customFormat="1"/>
    <row r="651" s="217" customFormat="1"/>
    <row r="652" s="217" customFormat="1"/>
    <row r="653" s="217" customFormat="1"/>
    <row r="654" s="217" customFormat="1"/>
    <row r="655" s="217" customFormat="1"/>
    <row r="656" s="217" customFormat="1"/>
    <row r="657" s="217" customFormat="1"/>
    <row r="658" s="217" customFormat="1"/>
    <row r="659" s="217" customFormat="1"/>
    <row r="660" s="217" customFormat="1"/>
    <row r="661" s="217" customFormat="1"/>
    <row r="662" s="217" customFormat="1"/>
    <row r="663" s="217" customFormat="1"/>
    <row r="664" s="217" customFormat="1"/>
    <row r="665" s="217" customFormat="1"/>
    <row r="666" s="217" customFormat="1"/>
    <row r="667" s="217" customFormat="1"/>
    <row r="668" s="217" customFormat="1"/>
    <row r="669" s="217" customFormat="1"/>
    <row r="670" s="217" customFormat="1"/>
    <row r="671" s="217" customFormat="1"/>
    <row r="672" s="217" customFormat="1"/>
    <row r="673" s="217" customFormat="1"/>
    <row r="674" s="217" customFormat="1"/>
    <row r="675" s="217" customFormat="1"/>
    <row r="676" s="217" customFormat="1"/>
    <row r="677" s="217" customFormat="1"/>
    <row r="678" s="217" customFormat="1"/>
    <row r="679" s="217" customFormat="1"/>
    <row r="680" s="217" customFormat="1"/>
    <row r="681" s="217" customFormat="1"/>
    <row r="682" s="217" customFormat="1"/>
    <row r="683" s="217" customFormat="1"/>
    <row r="684" s="217" customFormat="1"/>
    <row r="685" s="217" customFormat="1"/>
    <row r="686" s="217" customFormat="1"/>
    <row r="687" s="217" customFormat="1"/>
    <row r="688" s="217" customFormat="1"/>
    <row r="689" s="217" customFormat="1"/>
    <row r="690" s="217" customFormat="1"/>
    <row r="691" s="217" customFormat="1"/>
    <row r="692" s="217" customFormat="1"/>
    <row r="693" s="217" customFormat="1"/>
    <row r="694" s="217" customFormat="1"/>
    <row r="695" s="217" customFormat="1"/>
    <row r="696" s="217" customFormat="1"/>
    <row r="697" s="217" customFormat="1"/>
    <row r="698" s="217" customFormat="1"/>
    <row r="699" s="217" customFormat="1"/>
    <row r="700" s="217" customFormat="1"/>
    <row r="701" s="217" customFormat="1"/>
    <row r="702" s="217" customFormat="1"/>
    <row r="703" s="217" customFormat="1"/>
    <row r="704" s="217" customFormat="1"/>
    <row r="705" s="217" customFormat="1"/>
    <row r="706" s="217" customFormat="1"/>
    <row r="707" s="217" customFormat="1"/>
    <row r="708" s="217" customFormat="1"/>
    <row r="709" s="217" customFormat="1"/>
    <row r="710" s="217" customFormat="1"/>
    <row r="711" s="217" customFormat="1"/>
    <row r="712" s="217" customFormat="1"/>
    <row r="713" s="217" customFormat="1"/>
    <row r="714" s="217" customFormat="1"/>
    <row r="715" s="217" customFormat="1"/>
    <row r="716" s="217" customFormat="1"/>
    <row r="717" s="217" customFormat="1"/>
    <row r="718" s="217" customFormat="1"/>
    <row r="719" s="217" customFormat="1"/>
    <row r="720" s="217" customFormat="1"/>
    <row r="721" s="217" customFormat="1"/>
    <row r="722" s="217" customFormat="1"/>
    <row r="723" s="217" customFormat="1"/>
    <row r="724" s="217" customFormat="1"/>
    <row r="725" s="217" customFormat="1"/>
    <row r="726" s="217" customFormat="1"/>
    <row r="727" s="217" customFormat="1"/>
    <row r="728" s="217" customFormat="1"/>
    <row r="729" s="217" customFormat="1"/>
    <row r="730" s="217" customFormat="1"/>
    <row r="731" s="217" customFormat="1"/>
    <row r="732" s="217" customFormat="1"/>
    <row r="733" s="217" customFormat="1"/>
    <row r="734" s="217" customFormat="1"/>
    <row r="735" s="217" customFormat="1"/>
    <row r="736" s="217" customFormat="1"/>
  </sheetData>
  <customSheetViews>
    <customSheetView guid="{ED9E521F-BC9B-4E88-8A9F-5288A046401B}" showGridLines="0" hiddenColumns="1">
      <pane xSplit="37" topLeftCell="AN1" activePane="topRight" state="frozen"/>
      <selection pane="topRight" activeCell="BG23" sqref="BG23"/>
      <pageMargins left="0.7" right="0.7" top="0.75" bottom="0.75" header="0.3" footer="0.3"/>
      <pageSetup paperSize="9" scale="46" orientation="portrait" horizontalDpi="4294967294" r:id="rId1"/>
    </customSheetView>
    <customSheetView guid="{634BFE77-A2AA-4FA6-8ED5-F02244B9F10C}" showPageBreaks="1" showGridLines="0" hiddenColumns="1">
      <pane xSplit="37" topLeftCell="AW1" activePane="topRight" state="frozen"/>
      <selection pane="topRight" activeCell="BK4" sqref="BK4"/>
      <pageMargins left="0.7" right="0.7" top="0.75" bottom="0.75" header="0.3" footer="0.3"/>
      <pageSetup paperSize="9" scale="46" orientation="portrait" horizontalDpi="4294967294"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howGridLines="0" hiddenColumns="1" topLeftCell="A10">
      <pane xSplit="37" topLeftCell="AM1" activePane="topRight" state="frozen"/>
      <selection pane="topRight" activeCell="A16" sqref="A16"/>
      <pageMargins left="0.7" right="0.7" top="0.75" bottom="0.75" header="0.3" footer="0.3"/>
      <pageSetup paperSize="9" scale="46" orientation="portrait" horizontalDpi="4294967294" r:id="rId3"/>
    </customSheetView>
    <customSheetView guid="{B87BD74C-18F3-4393-BF03-31B25889E08F}" showGridLines="0" hiddenColumns="1">
      <pane xSplit="37" topLeftCell="AW1" activePane="topRight" state="frozen"/>
      <selection pane="topRight" activeCell="BG21" sqref="BG21"/>
      <pageMargins left="0.7" right="0.7" top="0.75" bottom="0.75" header="0.3" footer="0.3"/>
      <pageSetup paperSize="9" scale="46" orientation="portrait" horizontalDpi="4294967294" r:id="rId4"/>
    </customSheetView>
  </customSheetViews>
  <mergeCells count="10">
    <mergeCell ref="BG2:BK2"/>
    <mergeCell ref="BG3:BK3"/>
    <mergeCell ref="AM2:AQ2"/>
    <mergeCell ref="AR2:AV2"/>
    <mergeCell ref="AW2:BA2"/>
    <mergeCell ref="BB2:BF2"/>
    <mergeCell ref="AM3:AQ3"/>
    <mergeCell ref="AR3:AV3"/>
    <mergeCell ref="AW3:BA3"/>
    <mergeCell ref="BB3:BF3"/>
  </mergeCells>
  <pageMargins left="0.7" right="0.7" top="0.75" bottom="0.75" header="0.3" footer="0.3"/>
  <pageSetup paperSize="9" scale="46" orientation="portrait" horizontalDpi="4294967294"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W85"/>
  <sheetViews>
    <sheetView showGridLines="0" zoomScale="85" zoomScaleNormal="85" zoomScaleSheetLayoutView="85" workbookViewId="0">
      <pane xSplit="1" ySplit="4" topLeftCell="AL53" activePane="bottomRight" state="frozen"/>
      <selection pane="topRight" activeCell="B1" sqref="B1"/>
      <selection pane="bottomLeft" activeCell="A5" sqref="A5"/>
      <selection pane="bottomRight" activeCell="A13" sqref="A13"/>
    </sheetView>
  </sheetViews>
  <sheetFormatPr defaultColWidth="9" defaultRowHeight="12.75" outlineLevelCol="1"/>
  <cols>
    <col min="1" max="1" width="53" style="6" customWidth="1"/>
    <col min="2" max="2" width="53" style="46" customWidth="1"/>
    <col min="3" max="3" width="11.5" style="7" customWidth="1" outlineLevel="1"/>
    <col min="4" max="4" width="12.375" style="7" customWidth="1" outlineLevel="1"/>
    <col min="5" max="5" width="13.625" style="7" customWidth="1" outlineLevel="1"/>
    <col min="6" max="6" width="12.125" style="7" customWidth="1" outlineLevel="1"/>
    <col min="7" max="9" width="13.625" style="7" customWidth="1" outlineLevel="1"/>
    <col min="10" max="10" width="12.125" style="7" customWidth="1" outlineLevel="1"/>
    <col min="11" max="11" width="13.625" style="7" customWidth="1" outlineLevel="1"/>
    <col min="12" max="13" width="13.625" style="20" customWidth="1" outlineLevel="1"/>
    <col min="14" max="14" width="12.125" style="7" customWidth="1" outlineLevel="1"/>
    <col min="15" max="16" width="13.625" style="7" customWidth="1" outlineLevel="1"/>
    <col min="17" max="17" width="13.625" style="20" customWidth="1" outlineLevel="1"/>
    <col min="18" max="30" width="13.625" style="7" customWidth="1" outlineLevel="1"/>
    <col min="31" max="42" width="13.625" style="7" customWidth="1"/>
    <col min="43" max="16384" width="9" style="7"/>
  </cols>
  <sheetData>
    <row r="1" spans="1:491" s="18" customFormat="1" ht="89.25" customHeight="1">
      <c r="A1" s="3"/>
      <c r="B1" s="5"/>
      <c r="C1" s="5"/>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row>
    <row r="2" spans="1:491" s="617" customFormat="1" ht="42.75" customHeight="1">
      <c r="A2" s="614" t="s">
        <v>109</v>
      </c>
      <c r="B2" s="615" t="s">
        <v>110</v>
      </c>
      <c r="C2" s="713">
        <v>2012</v>
      </c>
      <c r="D2" s="713"/>
      <c r="E2" s="713"/>
      <c r="F2" s="714"/>
      <c r="G2" s="713">
        <v>2013</v>
      </c>
      <c r="H2" s="713"/>
      <c r="I2" s="713"/>
      <c r="J2" s="713"/>
      <c r="K2" s="710">
        <v>2014</v>
      </c>
      <c r="L2" s="713"/>
      <c r="M2" s="713"/>
      <c r="N2" s="714"/>
      <c r="O2" s="713">
        <v>2015</v>
      </c>
      <c r="P2" s="713"/>
      <c r="Q2" s="713"/>
      <c r="R2" s="714"/>
      <c r="S2" s="710">
        <v>2016</v>
      </c>
      <c r="T2" s="713"/>
      <c r="U2" s="713"/>
      <c r="V2" s="714"/>
      <c r="W2" s="710" t="s">
        <v>521</v>
      </c>
      <c r="X2" s="713"/>
      <c r="Y2" s="713"/>
      <c r="Z2" s="714"/>
      <c r="AA2" s="710" t="s">
        <v>522</v>
      </c>
      <c r="AB2" s="713"/>
      <c r="AC2" s="713"/>
      <c r="AD2" s="714"/>
      <c r="AE2" s="710" t="s">
        <v>523</v>
      </c>
      <c r="AF2" s="711"/>
      <c r="AG2" s="711"/>
      <c r="AH2" s="712"/>
      <c r="AI2" s="710">
        <v>2020</v>
      </c>
      <c r="AJ2" s="711"/>
      <c r="AK2" s="711"/>
      <c r="AL2" s="712"/>
      <c r="AM2" s="710">
        <v>2021</v>
      </c>
      <c r="AN2" s="711"/>
      <c r="AO2" s="711"/>
      <c r="AP2" s="712"/>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6"/>
      <c r="BQ2" s="616"/>
      <c r="BR2" s="616"/>
      <c r="BS2" s="616"/>
      <c r="BT2" s="616"/>
      <c r="BU2" s="616"/>
      <c r="BV2" s="616"/>
      <c r="BW2" s="616"/>
      <c r="BX2" s="616"/>
      <c r="BY2" s="616"/>
      <c r="BZ2" s="616"/>
      <c r="CA2" s="616"/>
      <c r="CB2" s="616"/>
      <c r="CC2" s="616"/>
      <c r="CD2" s="616"/>
      <c r="CE2" s="616"/>
      <c r="CF2" s="616"/>
      <c r="CG2" s="616"/>
      <c r="CH2" s="616"/>
      <c r="CI2" s="616"/>
      <c r="CJ2" s="616"/>
      <c r="CK2" s="616"/>
      <c r="CL2" s="616"/>
      <c r="CM2" s="616"/>
      <c r="CN2" s="616"/>
      <c r="CO2" s="616"/>
      <c r="CP2" s="616"/>
      <c r="CQ2" s="616"/>
      <c r="CR2" s="616"/>
      <c r="CS2" s="616"/>
      <c r="CT2" s="616"/>
      <c r="CU2" s="616"/>
      <c r="CV2" s="616"/>
      <c r="CW2" s="616"/>
      <c r="CX2" s="616"/>
      <c r="CY2" s="616"/>
      <c r="CZ2" s="616"/>
      <c r="DA2" s="616"/>
      <c r="DB2" s="616"/>
      <c r="DC2" s="616"/>
      <c r="DD2" s="616"/>
      <c r="DE2" s="616"/>
      <c r="DF2" s="616"/>
      <c r="DG2" s="616"/>
      <c r="DH2" s="616"/>
      <c r="DI2" s="616"/>
      <c r="DJ2" s="616"/>
      <c r="DK2" s="616"/>
      <c r="DL2" s="616"/>
      <c r="DM2" s="616"/>
      <c r="DN2" s="616"/>
      <c r="DO2" s="616"/>
      <c r="DP2" s="616"/>
      <c r="DQ2" s="616"/>
      <c r="DR2" s="616"/>
      <c r="DS2" s="616"/>
      <c r="DT2" s="616"/>
      <c r="DU2" s="616"/>
      <c r="DV2" s="616"/>
      <c r="DW2" s="616"/>
      <c r="DX2" s="616"/>
      <c r="DY2" s="616"/>
      <c r="DZ2" s="616"/>
      <c r="EA2" s="616"/>
      <c r="EB2" s="616"/>
      <c r="EC2" s="616"/>
      <c r="ED2" s="616"/>
      <c r="EE2" s="616"/>
      <c r="EF2" s="616"/>
      <c r="EG2" s="616"/>
      <c r="EH2" s="616"/>
      <c r="EI2" s="616"/>
      <c r="EJ2" s="616"/>
      <c r="EK2" s="616"/>
      <c r="EL2" s="616"/>
      <c r="EM2" s="616"/>
      <c r="EN2" s="616"/>
      <c r="EO2" s="616"/>
      <c r="EP2" s="616"/>
      <c r="EQ2" s="616"/>
      <c r="ER2" s="616"/>
      <c r="ES2" s="616"/>
      <c r="ET2" s="616"/>
      <c r="EU2" s="616"/>
      <c r="EV2" s="616"/>
      <c r="EW2" s="616"/>
      <c r="EX2" s="616"/>
      <c r="EY2" s="616"/>
      <c r="EZ2" s="616"/>
      <c r="FA2" s="616"/>
      <c r="FB2" s="616"/>
      <c r="FC2" s="616"/>
      <c r="FD2" s="616"/>
      <c r="FE2" s="616"/>
      <c r="FF2" s="616"/>
      <c r="FG2" s="616"/>
      <c r="FH2" s="616"/>
      <c r="FI2" s="616"/>
      <c r="FJ2" s="616"/>
      <c r="FK2" s="616"/>
      <c r="FL2" s="616"/>
      <c r="FM2" s="616"/>
      <c r="FN2" s="616"/>
      <c r="FO2" s="616"/>
      <c r="FP2" s="616"/>
      <c r="FQ2" s="616"/>
      <c r="FR2" s="616"/>
      <c r="FS2" s="616"/>
      <c r="FT2" s="616"/>
      <c r="FU2" s="616"/>
      <c r="FV2" s="616"/>
      <c r="FW2" s="616"/>
      <c r="FX2" s="616"/>
      <c r="FY2" s="616"/>
      <c r="FZ2" s="616"/>
      <c r="GA2" s="616"/>
      <c r="GB2" s="616"/>
      <c r="GC2" s="616"/>
      <c r="GD2" s="616"/>
      <c r="GE2" s="616"/>
      <c r="GF2" s="616"/>
      <c r="GG2" s="616"/>
      <c r="GH2" s="616"/>
      <c r="GI2" s="616"/>
      <c r="GJ2" s="616"/>
      <c r="GK2" s="616"/>
      <c r="GL2" s="616"/>
      <c r="GM2" s="616"/>
      <c r="GN2" s="616"/>
      <c r="GO2" s="616"/>
      <c r="GP2" s="616"/>
      <c r="GQ2" s="616"/>
      <c r="GR2" s="616"/>
      <c r="GS2" s="616"/>
      <c r="GT2" s="616"/>
      <c r="GU2" s="616"/>
      <c r="GV2" s="616"/>
      <c r="GW2" s="616"/>
      <c r="GX2" s="616"/>
      <c r="GY2" s="616"/>
      <c r="GZ2" s="616"/>
      <c r="HA2" s="616"/>
      <c r="HB2" s="616"/>
      <c r="HC2" s="616"/>
      <c r="HD2" s="616"/>
      <c r="HE2" s="616"/>
      <c r="HF2" s="616"/>
      <c r="HG2" s="616"/>
      <c r="HH2" s="616"/>
      <c r="HI2" s="616"/>
      <c r="HJ2" s="616"/>
      <c r="HK2" s="616"/>
      <c r="HL2" s="616"/>
      <c r="HM2" s="616"/>
      <c r="HN2" s="616"/>
      <c r="HO2" s="616"/>
      <c r="HP2" s="616"/>
      <c r="HQ2" s="616"/>
      <c r="HR2" s="616"/>
      <c r="HS2" s="616"/>
      <c r="HT2" s="616"/>
      <c r="HU2" s="616"/>
      <c r="HV2" s="616"/>
      <c r="HW2" s="616"/>
      <c r="HX2" s="616"/>
      <c r="HY2" s="616"/>
      <c r="HZ2" s="616"/>
      <c r="IA2" s="616"/>
      <c r="IB2" s="616"/>
      <c r="IC2" s="616"/>
      <c r="ID2" s="616"/>
      <c r="IE2" s="616"/>
      <c r="IF2" s="616"/>
      <c r="IG2" s="616"/>
      <c r="IH2" s="616"/>
      <c r="II2" s="616"/>
      <c r="IJ2" s="616"/>
      <c r="IK2" s="616"/>
      <c r="IL2" s="616"/>
      <c r="IM2" s="616"/>
      <c r="IN2" s="616"/>
      <c r="IO2" s="616"/>
      <c r="IP2" s="616"/>
      <c r="IQ2" s="616"/>
      <c r="IR2" s="616"/>
      <c r="IS2" s="616"/>
      <c r="IT2" s="616"/>
      <c r="IU2" s="616"/>
      <c r="IV2" s="616"/>
      <c r="IW2" s="616"/>
      <c r="IX2" s="616"/>
      <c r="IY2" s="616"/>
      <c r="IZ2" s="616"/>
      <c r="JA2" s="616"/>
      <c r="JB2" s="616"/>
      <c r="JC2" s="616"/>
      <c r="JD2" s="616"/>
      <c r="JE2" s="616"/>
      <c r="JF2" s="616"/>
      <c r="JG2" s="616"/>
      <c r="JH2" s="616"/>
      <c r="JI2" s="616"/>
      <c r="JJ2" s="616"/>
      <c r="JK2" s="616"/>
      <c r="JL2" s="616"/>
      <c r="JM2" s="616"/>
      <c r="JN2" s="616"/>
      <c r="JO2" s="616"/>
      <c r="JP2" s="616"/>
      <c r="JQ2" s="616"/>
      <c r="JR2" s="616"/>
      <c r="JS2" s="616"/>
      <c r="JT2" s="616"/>
      <c r="JU2" s="616"/>
      <c r="JV2" s="616"/>
      <c r="JW2" s="616"/>
      <c r="JX2" s="616"/>
      <c r="JY2" s="616"/>
      <c r="JZ2" s="616"/>
      <c r="KA2" s="616"/>
      <c r="KB2" s="616"/>
      <c r="KC2" s="616"/>
      <c r="KD2" s="616"/>
      <c r="KE2" s="616"/>
      <c r="KF2" s="616"/>
      <c r="KG2" s="616"/>
      <c r="KH2" s="616"/>
      <c r="KI2" s="616"/>
      <c r="KJ2" s="616"/>
      <c r="KK2" s="616"/>
      <c r="KL2" s="616"/>
      <c r="KM2" s="616"/>
      <c r="KN2" s="616"/>
      <c r="KO2" s="616"/>
      <c r="KP2" s="616"/>
      <c r="KQ2" s="616"/>
      <c r="KR2" s="616"/>
      <c r="KS2" s="616"/>
      <c r="KT2" s="616"/>
      <c r="KU2" s="616"/>
      <c r="KV2" s="616"/>
      <c r="KW2" s="616"/>
      <c r="KX2" s="616"/>
      <c r="KY2" s="616"/>
      <c r="KZ2" s="616"/>
      <c r="LA2" s="616"/>
      <c r="LB2" s="616"/>
      <c r="LC2" s="616"/>
      <c r="LD2" s="616"/>
      <c r="LE2" s="616"/>
      <c r="LF2" s="616"/>
      <c r="LG2" s="616"/>
      <c r="LH2" s="616"/>
      <c r="LI2" s="616"/>
      <c r="LJ2" s="616"/>
      <c r="LK2" s="616"/>
      <c r="LL2" s="616"/>
      <c r="LM2" s="616"/>
      <c r="LN2" s="616"/>
      <c r="LO2" s="616"/>
      <c r="LP2" s="616"/>
      <c r="LQ2" s="616"/>
      <c r="LR2" s="616"/>
      <c r="LS2" s="616"/>
      <c r="LT2" s="616"/>
      <c r="LU2" s="616"/>
      <c r="LV2" s="616"/>
      <c r="LW2" s="616"/>
      <c r="LX2" s="616"/>
      <c r="LY2" s="616"/>
      <c r="LZ2" s="616"/>
      <c r="MA2" s="616"/>
      <c r="MB2" s="616"/>
      <c r="MC2" s="616"/>
      <c r="MD2" s="616"/>
      <c r="ME2" s="616"/>
      <c r="MF2" s="616"/>
      <c r="MG2" s="616"/>
      <c r="MH2" s="616"/>
      <c r="MI2" s="616"/>
      <c r="MJ2" s="616"/>
      <c r="MK2" s="616"/>
      <c r="ML2" s="616"/>
      <c r="MM2" s="616"/>
      <c r="MN2" s="616"/>
      <c r="MO2" s="616"/>
      <c r="MP2" s="616"/>
      <c r="MQ2" s="616"/>
      <c r="MR2" s="616"/>
      <c r="MS2" s="616"/>
      <c r="MT2" s="616"/>
      <c r="MU2" s="616"/>
      <c r="MV2" s="616"/>
      <c r="MW2" s="616"/>
      <c r="MX2" s="616"/>
      <c r="MY2" s="616"/>
      <c r="MZ2" s="616"/>
      <c r="NA2" s="616"/>
      <c r="NB2" s="616"/>
      <c r="NC2" s="616"/>
      <c r="ND2" s="616"/>
      <c r="NE2" s="616"/>
      <c r="NF2" s="616"/>
      <c r="NG2" s="616"/>
      <c r="NH2" s="616"/>
      <c r="NI2" s="616"/>
      <c r="NJ2" s="616"/>
      <c r="NK2" s="616"/>
      <c r="NL2" s="616"/>
      <c r="NM2" s="616"/>
      <c r="NN2" s="616"/>
      <c r="NO2" s="616"/>
      <c r="NP2" s="616"/>
      <c r="NQ2" s="616"/>
      <c r="NR2" s="616"/>
      <c r="NS2" s="616"/>
      <c r="NT2" s="616"/>
      <c r="NU2" s="616"/>
      <c r="NV2" s="616"/>
      <c r="NW2" s="616"/>
      <c r="NX2" s="616"/>
      <c r="NY2" s="616"/>
      <c r="NZ2" s="616"/>
      <c r="OA2" s="616"/>
      <c r="OB2" s="616"/>
      <c r="OC2" s="616"/>
      <c r="OD2" s="616"/>
      <c r="OE2" s="616"/>
      <c r="OF2" s="616"/>
      <c r="OG2" s="616"/>
      <c r="OH2" s="616"/>
      <c r="OI2" s="616"/>
      <c r="OJ2" s="616"/>
      <c r="OK2" s="616"/>
      <c r="OL2" s="616"/>
      <c r="OM2" s="616"/>
      <c r="ON2" s="616"/>
      <c r="OO2" s="616"/>
      <c r="OP2" s="616"/>
      <c r="OQ2" s="616"/>
      <c r="OR2" s="616"/>
      <c r="OS2" s="616"/>
      <c r="OT2" s="616"/>
      <c r="OU2" s="616"/>
      <c r="OV2" s="616"/>
      <c r="OW2" s="616"/>
      <c r="OX2" s="616"/>
      <c r="OY2" s="616"/>
      <c r="OZ2" s="616"/>
      <c r="PA2" s="616"/>
      <c r="PB2" s="616"/>
      <c r="PC2" s="616"/>
      <c r="PD2" s="616"/>
      <c r="PE2" s="616"/>
      <c r="PF2" s="616"/>
      <c r="PG2" s="616"/>
      <c r="PH2" s="616"/>
      <c r="PI2" s="616"/>
      <c r="PJ2" s="616"/>
      <c r="PK2" s="616"/>
      <c r="PL2" s="616"/>
      <c r="PM2" s="616"/>
      <c r="PN2" s="616"/>
      <c r="PO2" s="616"/>
      <c r="PP2" s="616"/>
      <c r="PQ2" s="616"/>
      <c r="PR2" s="616"/>
      <c r="PS2" s="616"/>
      <c r="PT2" s="616"/>
      <c r="PU2" s="616"/>
      <c r="PV2" s="616"/>
      <c r="PW2" s="616"/>
      <c r="PX2" s="616"/>
      <c r="PY2" s="616"/>
      <c r="PZ2" s="616"/>
      <c r="QA2" s="616"/>
      <c r="QB2" s="616"/>
      <c r="QC2" s="616"/>
      <c r="QD2" s="616"/>
      <c r="QE2" s="616"/>
      <c r="QF2" s="616"/>
      <c r="QG2" s="616"/>
      <c r="QH2" s="616"/>
      <c r="QI2" s="616"/>
      <c r="QJ2" s="616"/>
      <c r="QK2" s="616"/>
      <c r="QL2" s="616"/>
      <c r="QM2" s="616"/>
      <c r="QN2" s="616"/>
      <c r="QO2" s="616"/>
      <c r="QP2" s="616"/>
      <c r="QQ2" s="616"/>
      <c r="QR2" s="616"/>
      <c r="QS2" s="616"/>
      <c r="QT2" s="616"/>
      <c r="QU2" s="616"/>
      <c r="QV2" s="616"/>
      <c r="QW2" s="616"/>
      <c r="QX2" s="616"/>
      <c r="QY2" s="616"/>
      <c r="QZ2" s="616"/>
      <c r="RA2" s="616"/>
      <c r="RB2" s="616"/>
      <c r="RC2" s="616"/>
      <c r="RD2" s="616"/>
      <c r="RE2" s="616"/>
      <c r="RF2" s="616"/>
      <c r="RG2" s="616"/>
      <c r="RH2" s="616"/>
      <c r="RI2" s="616"/>
      <c r="RJ2" s="616"/>
      <c r="RK2" s="616"/>
      <c r="RL2" s="616"/>
      <c r="RM2" s="616"/>
      <c r="RN2" s="616"/>
      <c r="RO2" s="616"/>
      <c r="RP2" s="616"/>
      <c r="RQ2" s="616"/>
      <c r="RR2" s="616"/>
      <c r="RS2" s="616"/>
      <c r="RT2" s="616"/>
      <c r="RU2" s="616"/>
      <c r="RV2" s="616"/>
      <c r="RW2" s="616"/>
    </row>
    <row r="3" spans="1:491" s="624" customFormat="1" ht="15">
      <c r="A3" s="618" t="s">
        <v>7</v>
      </c>
      <c r="B3" s="618" t="s">
        <v>7</v>
      </c>
      <c r="C3" s="619" t="s">
        <v>111</v>
      </c>
      <c r="D3" s="620" t="s">
        <v>112</v>
      </c>
      <c r="E3" s="620" t="s">
        <v>113</v>
      </c>
      <c r="F3" s="621" t="s">
        <v>114</v>
      </c>
      <c r="G3" s="620" t="s">
        <v>111</v>
      </c>
      <c r="H3" s="620" t="s">
        <v>112</v>
      </c>
      <c r="I3" s="620" t="s">
        <v>113</v>
      </c>
      <c r="J3" s="621" t="s">
        <v>114</v>
      </c>
      <c r="K3" s="619" t="s">
        <v>111</v>
      </c>
      <c r="L3" s="620" t="s">
        <v>112</v>
      </c>
      <c r="M3" s="620" t="s">
        <v>113</v>
      </c>
      <c r="N3" s="622" t="s">
        <v>524</v>
      </c>
      <c r="O3" s="620" t="s">
        <v>111</v>
      </c>
      <c r="P3" s="620" t="s">
        <v>112</v>
      </c>
      <c r="Q3" s="620" t="s">
        <v>113</v>
      </c>
      <c r="R3" s="621" t="s">
        <v>114</v>
      </c>
      <c r="S3" s="620" t="s">
        <v>111</v>
      </c>
      <c r="T3" s="620" t="s">
        <v>112</v>
      </c>
      <c r="U3" s="620" t="s">
        <v>113</v>
      </c>
      <c r="V3" s="621" t="s">
        <v>114</v>
      </c>
      <c r="W3" s="620" t="s">
        <v>111</v>
      </c>
      <c r="X3" s="620" t="s">
        <v>112</v>
      </c>
      <c r="Y3" s="620" t="s">
        <v>113</v>
      </c>
      <c r="Z3" s="621" t="s">
        <v>114</v>
      </c>
      <c r="AA3" s="623" t="s">
        <v>111</v>
      </c>
      <c r="AB3" s="620" t="s">
        <v>112</v>
      </c>
      <c r="AC3" s="620" t="s">
        <v>113</v>
      </c>
      <c r="AD3" s="621" t="s">
        <v>114</v>
      </c>
      <c r="AE3" s="623" t="s">
        <v>111</v>
      </c>
      <c r="AF3" s="620" t="s">
        <v>112</v>
      </c>
      <c r="AG3" s="620" t="s">
        <v>113</v>
      </c>
      <c r="AH3" s="621" t="s">
        <v>114</v>
      </c>
      <c r="AI3" s="623" t="s">
        <v>111</v>
      </c>
      <c r="AJ3" s="620" t="s">
        <v>112</v>
      </c>
      <c r="AK3" s="620" t="s">
        <v>113</v>
      </c>
      <c r="AL3" s="621" t="s">
        <v>114</v>
      </c>
      <c r="AM3" s="623" t="s">
        <v>111</v>
      </c>
      <c r="AN3" s="620" t="s">
        <v>112</v>
      </c>
      <c r="AO3" s="620" t="s">
        <v>113</v>
      </c>
      <c r="AP3" s="621" t="s">
        <v>114</v>
      </c>
    </row>
    <row r="4" spans="1:491" s="629" customFormat="1" ht="16.5" customHeight="1">
      <c r="A4" s="625"/>
      <c r="B4" s="626"/>
      <c r="C4" s="627" t="s">
        <v>115</v>
      </c>
      <c r="D4" s="627" t="s">
        <v>116</v>
      </c>
      <c r="E4" s="576" t="s">
        <v>117</v>
      </c>
      <c r="F4" s="628" t="s">
        <v>118</v>
      </c>
      <c r="G4" s="627" t="s">
        <v>115</v>
      </c>
      <c r="H4" s="627" t="s">
        <v>116</v>
      </c>
      <c r="I4" s="576" t="s">
        <v>117</v>
      </c>
      <c r="J4" s="628" t="s">
        <v>118</v>
      </c>
      <c r="K4" s="627" t="s">
        <v>115</v>
      </c>
      <c r="L4" s="627" t="s">
        <v>116</v>
      </c>
      <c r="M4" s="576" t="s">
        <v>117</v>
      </c>
      <c r="N4" s="628" t="s">
        <v>525</v>
      </c>
      <c r="O4" s="627" t="s">
        <v>115</v>
      </c>
      <c r="P4" s="627" t="s">
        <v>116</v>
      </c>
      <c r="Q4" s="576" t="s">
        <v>117</v>
      </c>
      <c r="R4" s="628" t="s">
        <v>118</v>
      </c>
      <c r="S4" s="627" t="s">
        <v>115</v>
      </c>
      <c r="T4" s="627" t="s">
        <v>116</v>
      </c>
      <c r="U4" s="576" t="s">
        <v>117</v>
      </c>
      <c r="V4" s="628" t="s">
        <v>118</v>
      </c>
      <c r="W4" s="627" t="s">
        <v>115</v>
      </c>
      <c r="X4" s="627" t="s">
        <v>116</v>
      </c>
      <c r="Y4" s="576" t="s">
        <v>117</v>
      </c>
      <c r="Z4" s="628" t="s">
        <v>118</v>
      </c>
      <c r="AA4" s="627" t="s">
        <v>115</v>
      </c>
      <c r="AB4" s="627" t="s">
        <v>116</v>
      </c>
      <c r="AC4" s="576" t="s">
        <v>117</v>
      </c>
      <c r="AD4" s="628" t="s">
        <v>118</v>
      </c>
      <c r="AE4" s="627" t="s">
        <v>115</v>
      </c>
      <c r="AF4" s="627" t="s">
        <v>116</v>
      </c>
      <c r="AG4" s="576" t="s">
        <v>117</v>
      </c>
      <c r="AH4" s="628" t="s">
        <v>118</v>
      </c>
      <c r="AI4" s="627" t="s">
        <v>115</v>
      </c>
      <c r="AJ4" s="627" t="s">
        <v>116</v>
      </c>
      <c r="AK4" s="576" t="s">
        <v>117</v>
      </c>
      <c r="AL4" s="628" t="s">
        <v>118</v>
      </c>
      <c r="AM4" s="627" t="s">
        <v>115</v>
      </c>
      <c r="AN4" s="627" t="s">
        <v>116</v>
      </c>
      <c r="AO4" s="576" t="s">
        <v>117</v>
      </c>
      <c r="AP4" s="628" t="s">
        <v>118</v>
      </c>
    </row>
    <row r="5" spans="1:491" s="550" customFormat="1" ht="38.25" customHeight="1">
      <c r="A5" s="548" t="s">
        <v>119</v>
      </c>
      <c r="B5" s="549" t="s">
        <v>120</v>
      </c>
      <c r="C5" s="611"/>
      <c r="D5" s="611"/>
      <c r="E5" s="612"/>
      <c r="F5" s="613"/>
      <c r="G5" s="611"/>
      <c r="H5" s="611"/>
      <c r="I5" s="612"/>
      <c r="J5" s="613"/>
      <c r="K5" s="611"/>
      <c r="L5" s="611"/>
      <c r="M5" s="612"/>
      <c r="N5" s="613"/>
      <c r="O5" s="611"/>
      <c r="P5" s="611"/>
      <c r="Q5" s="612"/>
      <c r="R5" s="613"/>
      <c r="S5" s="611"/>
      <c r="T5" s="611"/>
      <c r="U5" s="612"/>
      <c r="V5" s="613"/>
      <c r="W5" s="611"/>
      <c r="X5" s="611"/>
      <c r="Y5" s="612"/>
      <c r="Z5" s="613"/>
      <c r="AA5" s="611"/>
      <c r="AB5" s="611"/>
      <c r="AC5" s="612"/>
      <c r="AD5" s="613"/>
      <c r="AE5" s="611"/>
      <c r="AF5" s="611"/>
      <c r="AG5" s="612"/>
      <c r="AH5" s="613"/>
      <c r="AI5" s="611"/>
      <c r="AJ5" s="611"/>
      <c r="AK5" s="612"/>
      <c r="AL5" s="613"/>
      <c r="AM5" s="611"/>
      <c r="AN5" s="611"/>
      <c r="AO5" s="612"/>
      <c r="AP5" s="613"/>
    </row>
    <row r="6" spans="1:491" s="10" customFormat="1" ht="20.100000000000001" customHeight="1">
      <c r="A6" s="33" t="s">
        <v>121</v>
      </c>
      <c r="B6" s="154" t="s">
        <v>122</v>
      </c>
      <c r="C6" s="22">
        <f>415.308</f>
        <v>415.30799999999999</v>
      </c>
      <c r="D6" s="22">
        <f>419.479</f>
        <v>419.47899999999998</v>
      </c>
      <c r="E6" s="36">
        <f>(425068)*0.001</f>
        <v>425.06799999999998</v>
      </c>
      <c r="F6" s="305">
        <f>(420060)*0.001</f>
        <v>420.06</v>
      </c>
      <c r="G6" s="36">
        <f>(419894)*0.001</f>
        <v>419.89400000000001</v>
      </c>
      <c r="H6" s="36">
        <f>(418521)*0.001</f>
        <v>418.52100000000002</v>
      </c>
      <c r="I6" s="36">
        <f>(409736)*0.001</f>
        <v>409.73599999999999</v>
      </c>
      <c r="J6" s="305">
        <f>(407579)*0.001</f>
        <v>407.57900000000001</v>
      </c>
      <c r="K6" s="47">
        <f>(395393)*0.001</f>
        <v>395.39300000000003</v>
      </c>
      <c r="L6" s="22">
        <v>384.8</v>
      </c>
      <c r="M6" s="22">
        <v>417</v>
      </c>
      <c r="N6" s="305">
        <v>421.1</v>
      </c>
      <c r="O6" s="22">
        <v>416.6</v>
      </c>
      <c r="P6" s="22">
        <v>401.1</v>
      </c>
      <c r="Q6" s="22">
        <v>377</v>
      </c>
      <c r="R6" s="305">
        <v>371</v>
      </c>
      <c r="S6" s="107">
        <v>356.7</v>
      </c>
      <c r="T6" s="107">
        <v>353.3</v>
      </c>
      <c r="U6" s="107">
        <v>350.4</v>
      </c>
      <c r="V6" s="305">
        <v>350.9</v>
      </c>
      <c r="W6" s="107">
        <v>342.2</v>
      </c>
      <c r="X6" s="107">
        <v>332.9</v>
      </c>
      <c r="Y6" s="107">
        <v>324</v>
      </c>
      <c r="Z6" s="305">
        <v>325.3</v>
      </c>
      <c r="AA6" s="107">
        <v>312.5</v>
      </c>
      <c r="AB6" s="107">
        <v>294.10000000000002</v>
      </c>
      <c r="AC6" s="107">
        <v>275.8</v>
      </c>
      <c r="AD6" s="305">
        <v>264.5</v>
      </c>
      <c r="AE6" s="107">
        <v>258.2</v>
      </c>
      <c r="AF6" s="107">
        <v>249.4</v>
      </c>
      <c r="AG6" s="40">
        <v>248.8</v>
      </c>
      <c r="AH6" s="305">
        <v>262.7</v>
      </c>
      <c r="AI6" s="107">
        <v>267.39999999999998</v>
      </c>
      <c r="AJ6" s="107">
        <v>277</v>
      </c>
      <c r="AK6" s="40">
        <v>288</v>
      </c>
      <c r="AL6" s="305">
        <v>293.39999999999998</v>
      </c>
      <c r="AM6" s="107">
        <v>297.3</v>
      </c>
      <c r="AN6" s="107">
        <v>288.60000000000002</v>
      </c>
      <c r="AO6" s="40"/>
      <c r="AP6" s="305"/>
    </row>
    <row r="7" spans="1:491" s="10" customFormat="1" ht="20.100000000000001" customHeight="1">
      <c r="A7" s="33" t="s">
        <v>123</v>
      </c>
      <c r="B7" s="154" t="s">
        <v>124</v>
      </c>
      <c r="C7" s="22">
        <f>258.7</f>
        <v>258.7</v>
      </c>
      <c r="D7" s="22">
        <f>258.506</f>
        <v>258.50599999999997</v>
      </c>
      <c r="E7" s="36">
        <f>(257043)*0.001</f>
        <v>257.04300000000001</v>
      </c>
      <c r="F7" s="305">
        <f>(276407)*0.001</f>
        <v>276.40699999999998</v>
      </c>
      <c r="G7" s="36">
        <f>(266252)*0.001</f>
        <v>266.25200000000001</v>
      </c>
      <c r="H7" s="36">
        <f>(265011)*0.001</f>
        <v>265.01100000000002</v>
      </c>
      <c r="I7" s="36">
        <f>(252063)*0.001</f>
        <v>252.06300000000002</v>
      </c>
      <c r="J7" s="305">
        <f>(251152)*0.001</f>
        <v>251.15200000000002</v>
      </c>
      <c r="K7" s="47">
        <f>(248178)*0.001</f>
        <v>248.178</v>
      </c>
      <c r="L7" s="21">
        <v>3010.6</v>
      </c>
      <c r="M7" s="21">
        <v>2933.8</v>
      </c>
      <c r="N7" s="305">
        <v>2714.9</v>
      </c>
      <c r="O7" s="22">
        <v>2855.8</v>
      </c>
      <c r="P7" s="22">
        <v>2541.1999999999998</v>
      </c>
      <c r="Q7" s="21">
        <v>2535.1999999999998</v>
      </c>
      <c r="R7" s="305">
        <v>2548.6</v>
      </c>
      <c r="S7" s="107">
        <v>3002.2</v>
      </c>
      <c r="T7" s="107">
        <v>2931</v>
      </c>
      <c r="U7" s="107">
        <v>2882.8</v>
      </c>
      <c r="V7" s="305">
        <v>2964.3</v>
      </c>
      <c r="W7" s="107">
        <v>2885.9</v>
      </c>
      <c r="X7" s="107">
        <v>2904.7</v>
      </c>
      <c r="Y7" s="107">
        <v>2866.4</v>
      </c>
      <c r="Z7" s="305">
        <v>2867.1</v>
      </c>
      <c r="AA7" s="107">
        <v>2797</v>
      </c>
      <c r="AB7" s="107">
        <v>4419.8999999999996</v>
      </c>
      <c r="AC7" s="107">
        <v>4438</v>
      </c>
      <c r="AD7" s="305">
        <v>4792.2</v>
      </c>
      <c r="AE7" s="107">
        <v>4720.3</v>
      </c>
      <c r="AF7" s="107">
        <v>4782.7</v>
      </c>
      <c r="AG7" s="40">
        <v>4797.3</v>
      </c>
      <c r="AH7" s="305">
        <v>4976.8999999999996</v>
      </c>
      <c r="AI7" s="107">
        <v>5004.3</v>
      </c>
      <c r="AJ7" s="107">
        <v>5041.8</v>
      </c>
      <c r="AK7" s="40">
        <v>5135.3999999999996</v>
      </c>
      <c r="AL7" s="305">
        <v>5391</v>
      </c>
      <c r="AM7" s="107">
        <v>2877.2</v>
      </c>
      <c r="AN7" s="107">
        <v>3072.7</v>
      </c>
      <c r="AO7" s="40"/>
      <c r="AP7" s="305"/>
    </row>
    <row r="8" spans="1:491" s="10" customFormat="1" ht="20.100000000000001" customHeight="1">
      <c r="A8" s="33" t="s">
        <v>125</v>
      </c>
      <c r="B8" s="154" t="s">
        <v>126</v>
      </c>
      <c r="C8" s="22">
        <f>2422.989</f>
        <v>2422.989</v>
      </c>
      <c r="D8" s="22">
        <f>2575.456</f>
        <v>2575.4560000000001</v>
      </c>
      <c r="E8" s="22">
        <f>(2575456)*0.001</f>
        <v>2575.4560000000001</v>
      </c>
      <c r="F8" s="306">
        <f>(2568033)*0.001</f>
        <v>2568.0329999999999</v>
      </c>
      <c r="G8" s="22">
        <f>(2568033)*0.001</f>
        <v>2568.0329999999999</v>
      </c>
      <c r="H8" s="22">
        <f>(2568033)*0.001</f>
        <v>2568.0329999999999</v>
      </c>
      <c r="I8" s="22">
        <f>(2637594)*0.001</f>
        <v>2637.5940000000001</v>
      </c>
      <c r="J8" s="306">
        <f>(2602804)*0.001</f>
        <v>2602.8040000000001</v>
      </c>
      <c r="K8" s="22">
        <f>(2602804)*0.001</f>
        <v>2602.8040000000001</v>
      </c>
      <c r="L8" s="21">
        <v>11735.5</v>
      </c>
      <c r="M8" s="21">
        <v>11735.5</v>
      </c>
      <c r="N8" s="306">
        <v>10585.3</v>
      </c>
      <c r="O8" s="22">
        <v>10831.2</v>
      </c>
      <c r="P8" s="22">
        <v>10606.4</v>
      </c>
      <c r="Q8" s="21">
        <v>10606.4</v>
      </c>
      <c r="R8" s="306">
        <v>10606.4</v>
      </c>
      <c r="S8" s="107">
        <v>11675.3</v>
      </c>
      <c r="T8" s="107">
        <v>10975.2</v>
      </c>
      <c r="U8" s="107">
        <v>10975.3</v>
      </c>
      <c r="V8" s="306">
        <v>10975.4</v>
      </c>
      <c r="W8" s="107">
        <v>10975.4</v>
      </c>
      <c r="X8" s="107">
        <v>10975.4</v>
      </c>
      <c r="Y8" s="107">
        <v>10975.4</v>
      </c>
      <c r="Z8" s="306">
        <v>11041.7</v>
      </c>
      <c r="AA8" s="107">
        <v>11060.5</v>
      </c>
      <c r="AB8" s="107">
        <v>11530</v>
      </c>
      <c r="AC8" s="107">
        <v>11519.3</v>
      </c>
      <c r="AD8" s="306">
        <v>11309.4</v>
      </c>
      <c r="AE8" s="107">
        <v>11309.4</v>
      </c>
      <c r="AF8" s="107">
        <v>11316.4</v>
      </c>
      <c r="AG8" s="40">
        <v>11316.4</v>
      </c>
      <c r="AH8" s="306">
        <v>11336.4</v>
      </c>
      <c r="AI8" s="107">
        <v>11349.5</v>
      </c>
      <c r="AJ8" s="107">
        <v>11349.5</v>
      </c>
      <c r="AK8" s="40">
        <v>11801.8</v>
      </c>
      <c r="AL8" s="306">
        <v>11808.4</v>
      </c>
      <c r="AM8" s="107">
        <v>11808.4</v>
      </c>
      <c r="AN8" s="107">
        <v>10664.9</v>
      </c>
      <c r="AO8" s="40"/>
      <c r="AP8" s="306"/>
    </row>
    <row r="9" spans="1:491" s="10" customFormat="1" ht="20.100000000000001" customHeight="1">
      <c r="A9" s="33" t="s">
        <v>127</v>
      </c>
      <c r="B9" s="155" t="s">
        <v>128</v>
      </c>
      <c r="C9" s="23">
        <f>0</f>
        <v>0</v>
      </c>
      <c r="D9" s="23">
        <v>0</v>
      </c>
      <c r="E9" s="23">
        <f>0</f>
        <v>0</v>
      </c>
      <c r="F9" s="307">
        <v>0</v>
      </c>
      <c r="G9" s="23">
        <f>0</f>
        <v>0</v>
      </c>
      <c r="H9" s="23">
        <f>0</f>
        <v>0</v>
      </c>
      <c r="I9" s="23">
        <f>0</f>
        <v>0</v>
      </c>
      <c r="J9" s="307">
        <f>0</f>
        <v>0</v>
      </c>
      <c r="K9" s="37">
        <v>0</v>
      </c>
      <c r="L9" s="21">
        <v>4482</v>
      </c>
      <c r="M9" s="21">
        <v>4331.8999999999996</v>
      </c>
      <c r="N9" s="307">
        <v>4255.8</v>
      </c>
      <c r="O9" s="25">
        <v>4002.2</v>
      </c>
      <c r="P9" s="25">
        <v>3944.6</v>
      </c>
      <c r="Q9" s="21">
        <v>3791.6</v>
      </c>
      <c r="R9" s="307">
        <v>3638.5</v>
      </c>
      <c r="S9" s="40">
        <v>3488.7</v>
      </c>
      <c r="T9" s="40">
        <v>3337.3</v>
      </c>
      <c r="U9" s="40">
        <v>3184.2</v>
      </c>
      <c r="V9" s="307">
        <v>3031.2</v>
      </c>
      <c r="W9" s="40">
        <v>2883.1</v>
      </c>
      <c r="X9" s="40">
        <v>2762.8</v>
      </c>
      <c r="Y9" s="40">
        <v>2660.5</v>
      </c>
      <c r="Z9" s="307">
        <v>2557.3000000000002</v>
      </c>
      <c r="AA9" s="107">
        <v>2458.6</v>
      </c>
      <c r="AB9" s="106">
        <v>2358.6999999999998</v>
      </c>
      <c r="AC9" s="107">
        <v>2257.6999999999998</v>
      </c>
      <c r="AD9" s="307">
        <v>2212.1999999999998</v>
      </c>
      <c r="AE9" s="107">
        <v>2111.6</v>
      </c>
      <c r="AF9" s="40">
        <v>2009.9</v>
      </c>
      <c r="AG9" s="40">
        <v>1907</v>
      </c>
      <c r="AH9" s="307">
        <v>1821.4</v>
      </c>
      <c r="AI9" s="107">
        <v>1723.5</v>
      </c>
      <c r="AJ9" s="40">
        <v>1620.6</v>
      </c>
      <c r="AK9" s="40">
        <v>1516.7</v>
      </c>
      <c r="AL9" s="307">
        <v>1412.7</v>
      </c>
      <c r="AM9" s="107">
        <v>1310.9</v>
      </c>
      <c r="AN9" s="107">
        <v>1208</v>
      </c>
      <c r="AO9" s="40"/>
      <c r="AP9" s="307"/>
    </row>
    <row r="10" spans="1:491" s="10" customFormat="1" ht="20.100000000000001" customHeight="1">
      <c r="A10" s="33" t="s">
        <v>129</v>
      </c>
      <c r="B10" s="154" t="s">
        <v>130</v>
      </c>
      <c r="C10" s="22">
        <f>840</f>
        <v>840</v>
      </c>
      <c r="D10" s="36">
        <f>(840000)*0.001</f>
        <v>840</v>
      </c>
      <c r="E10" s="36">
        <f>(840000)*0.001</f>
        <v>840</v>
      </c>
      <c r="F10" s="305">
        <f>(847800)*0.001</f>
        <v>847.80000000000007</v>
      </c>
      <c r="G10" s="36">
        <f>(847800)*0.001</f>
        <v>847.80000000000007</v>
      </c>
      <c r="H10" s="36">
        <f>(847800)*0.001</f>
        <v>847.80000000000007</v>
      </c>
      <c r="I10" s="36">
        <f>(847800)*0.001</f>
        <v>847.80000000000007</v>
      </c>
      <c r="J10" s="305">
        <f>(890800)*0.001</f>
        <v>890.80000000000007</v>
      </c>
      <c r="K10" s="47">
        <f>(890800)*0.001</f>
        <v>890.80000000000007</v>
      </c>
      <c r="L10" s="26">
        <v>890.8</v>
      </c>
      <c r="M10" s="26">
        <v>890.8</v>
      </c>
      <c r="N10" s="305">
        <v>2085.9</v>
      </c>
      <c r="O10" s="22">
        <v>1783.7</v>
      </c>
      <c r="P10" s="22">
        <v>2092.6999999999998</v>
      </c>
      <c r="Q10" s="26">
        <v>2086.6</v>
      </c>
      <c r="R10" s="305">
        <v>2080.6</v>
      </c>
      <c r="S10" s="107">
        <v>2074.6</v>
      </c>
      <c r="T10" s="107">
        <v>2068.6</v>
      </c>
      <c r="U10" s="107">
        <v>2062.5</v>
      </c>
      <c r="V10" s="305">
        <v>2056.5</v>
      </c>
      <c r="W10" s="107">
        <v>2050.5</v>
      </c>
      <c r="X10" s="107">
        <v>2044.4</v>
      </c>
      <c r="Y10" s="107">
        <v>2038.4</v>
      </c>
      <c r="Z10" s="305">
        <v>2037.1</v>
      </c>
      <c r="AA10" s="107">
        <v>2031</v>
      </c>
      <c r="AB10" s="107">
        <v>2024.8</v>
      </c>
      <c r="AC10" s="107">
        <v>2019</v>
      </c>
      <c r="AD10" s="305">
        <v>2096.1</v>
      </c>
      <c r="AE10" s="107">
        <v>2087.9</v>
      </c>
      <c r="AF10" s="107">
        <v>2079.6999999999998</v>
      </c>
      <c r="AG10" s="40">
        <v>2071.4</v>
      </c>
      <c r="AH10" s="305">
        <v>2063.1999999999998</v>
      </c>
      <c r="AI10" s="107">
        <v>2054.9</v>
      </c>
      <c r="AJ10" s="107">
        <v>2048.1999999999998</v>
      </c>
      <c r="AK10" s="40">
        <v>2040</v>
      </c>
      <c r="AL10" s="305">
        <v>2031.7</v>
      </c>
      <c r="AM10" s="107">
        <v>2023.5</v>
      </c>
      <c r="AN10" s="107">
        <v>2095.1999999999998</v>
      </c>
      <c r="AO10" s="40"/>
      <c r="AP10" s="305"/>
    </row>
    <row r="11" spans="1:491" s="10" customFormat="1" ht="20.100000000000001" customHeight="1">
      <c r="A11" s="33" t="s">
        <v>131</v>
      </c>
      <c r="B11" s="154" t="s">
        <v>132</v>
      </c>
      <c r="C11" s="22">
        <f>69.466</f>
        <v>69.465999999999994</v>
      </c>
      <c r="D11" s="36">
        <f>(69627)*0.001</f>
        <v>69.626999999999995</v>
      </c>
      <c r="E11" s="36">
        <f>(68459)*0.001</f>
        <v>68.459000000000003</v>
      </c>
      <c r="F11" s="305">
        <f>(81380)*0.001</f>
        <v>81.38</v>
      </c>
      <c r="G11" s="36">
        <f>(82841)*0.001</f>
        <v>82.841000000000008</v>
      </c>
      <c r="H11" s="36">
        <f>(83804)*0.001</f>
        <v>83.804000000000002</v>
      </c>
      <c r="I11" s="36">
        <f>(115337)*0.001</f>
        <v>115.337</v>
      </c>
      <c r="J11" s="305">
        <f>(137401)*0.001</f>
        <v>137.40100000000001</v>
      </c>
      <c r="K11" s="47">
        <f>(136697)*0.001</f>
        <v>136.697</v>
      </c>
      <c r="L11" s="21">
        <v>2360.6</v>
      </c>
      <c r="M11" s="21">
        <v>2624.2</v>
      </c>
      <c r="N11" s="305">
        <v>2591.4</v>
      </c>
      <c r="O11" s="22">
        <v>2527.5</v>
      </c>
      <c r="P11" s="22">
        <v>2525.8000000000002</v>
      </c>
      <c r="Q11" s="21">
        <v>2464.1999999999998</v>
      </c>
      <c r="R11" s="305">
        <v>2422.1999999999998</v>
      </c>
      <c r="S11" s="107">
        <v>2988.7</v>
      </c>
      <c r="T11" s="107">
        <v>3903</v>
      </c>
      <c r="U11" s="107">
        <v>3769.5</v>
      </c>
      <c r="V11" s="305">
        <v>3656.2</v>
      </c>
      <c r="W11" s="107">
        <v>3540.5</v>
      </c>
      <c r="X11" s="107">
        <v>3471.1</v>
      </c>
      <c r="Y11" s="107">
        <v>3343.6</v>
      </c>
      <c r="Z11" s="305">
        <v>3261.5</v>
      </c>
      <c r="AA11" s="107">
        <v>3146.4</v>
      </c>
      <c r="AB11" s="107">
        <v>3097.5</v>
      </c>
      <c r="AC11" s="107">
        <v>3015.6</v>
      </c>
      <c r="AD11" s="305">
        <v>3005.5</v>
      </c>
      <c r="AE11" s="107">
        <v>2967.8</v>
      </c>
      <c r="AF11" s="107">
        <v>2943.7</v>
      </c>
      <c r="AG11" s="40">
        <v>2911.7</v>
      </c>
      <c r="AH11" s="305">
        <v>2857.8</v>
      </c>
      <c r="AI11" s="107">
        <v>2749.9</v>
      </c>
      <c r="AJ11" s="107">
        <v>2648.1</v>
      </c>
      <c r="AK11" s="40">
        <v>2602.3000000000002</v>
      </c>
      <c r="AL11" s="305">
        <v>2616.4</v>
      </c>
      <c r="AM11" s="107">
        <v>2503.3000000000002</v>
      </c>
      <c r="AN11" s="107">
        <v>2462.9</v>
      </c>
      <c r="AO11" s="40"/>
      <c r="AP11" s="305"/>
    </row>
    <row r="12" spans="1:491" s="10" customFormat="1" ht="20.100000000000001" customHeight="1">
      <c r="A12" s="33" t="s">
        <v>133</v>
      </c>
      <c r="B12" s="156" t="s">
        <v>134</v>
      </c>
      <c r="C12" s="22"/>
      <c r="D12" s="36"/>
      <c r="E12" s="36"/>
      <c r="F12" s="305"/>
      <c r="G12" s="36"/>
      <c r="H12" s="36"/>
      <c r="I12" s="36"/>
      <c r="J12" s="305"/>
      <c r="K12" s="47"/>
      <c r="L12" s="21"/>
      <c r="M12" s="21"/>
      <c r="N12" s="305"/>
      <c r="O12" s="22"/>
      <c r="P12" s="22"/>
      <c r="Q12" s="21"/>
      <c r="R12" s="305"/>
      <c r="S12" s="107"/>
      <c r="T12" s="107"/>
      <c r="U12" s="107"/>
      <c r="V12" s="305"/>
      <c r="W12" s="107"/>
      <c r="X12" s="107"/>
      <c r="Y12" s="107"/>
      <c r="Z12" s="305"/>
      <c r="AA12" s="107"/>
      <c r="AB12" s="107"/>
      <c r="AC12" s="107"/>
      <c r="AD12" s="305"/>
      <c r="AE12" s="107">
        <v>1482</v>
      </c>
      <c r="AF12" s="107">
        <v>1408.2</v>
      </c>
      <c r="AG12" s="40">
        <v>1340.8</v>
      </c>
      <c r="AH12" s="305">
        <v>1420.3</v>
      </c>
      <c r="AI12" s="107">
        <v>1383.8</v>
      </c>
      <c r="AJ12" s="107">
        <v>1410.2</v>
      </c>
      <c r="AK12" s="40">
        <v>1398.7</v>
      </c>
      <c r="AL12" s="305">
        <v>1519.4</v>
      </c>
      <c r="AM12" s="107">
        <v>727</v>
      </c>
      <c r="AN12" s="107">
        <v>712.6</v>
      </c>
      <c r="AO12" s="40"/>
      <c r="AP12" s="305"/>
    </row>
    <row r="13" spans="1:491" s="10" customFormat="1" ht="20.100000000000001" customHeight="1">
      <c r="A13" s="33" t="s">
        <v>135</v>
      </c>
      <c r="B13" s="154" t="s">
        <v>136</v>
      </c>
      <c r="C13" s="22">
        <f>91.415</f>
        <v>91.415000000000006</v>
      </c>
      <c r="D13" s="36">
        <f>(95405)*0.001</f>
        <v>95.405000000000001</v>
      </c>
      <c r="E13" s="36">
        <f>(95323)*0.001</f>
        <v>95.323000000000008</v>
      </c>
      <c r="F13" s="305">
        <f>(97988)*0.001</f>
        <v>97.988</v>
      </c>
      <c r="G13" s="36">
        <f>(104074)*0.001</f>
        <v>104.074</v>
      </c>
      <c r="H13" s="36">
        <f>(115904)*0.001</f>
        <v>115.904</v>
      </c>
      <c r="I13" s="36">
        <f>(82162)*0.001</f>
        <v>82.162000000000006</v>
      </c>
      <c r="J13" s="305">
        <f>(71571)*0.001</f>
        <v>71.570999999999998</v>
      </c>
      <c r="K13" s="47">
        <f>(107548)*0.001</f>
        <v>107.548</v>
      </c>
      <c r="L13" s="26">
        <v>128.1</v>
      </c>
      <c r="M13" s="26">
        <v>148.80000000000001</v>
      </c>
      <c r="N13" s="305">
        <v>135.80000000000001</v>
      </c>
      <c r="O13" s="22">
        <v>158.69999999999999</v>
      </c>
      <c r="P13" s="22">
        <v>174.6</v>
      </c>
      <c r="Q13" s="26">
        <v>109</v>
      </c>
      <c r="R13" s="305">
        <v>145</v>
      </c>
      <c r="S13" s="107">
        <v>129.80000000000001</v>
      </c>
      <c r="T13" s="107">
        <v>156.19999999999999</v>
      </c>
      <c r="U13" s="107">
        <v>125.6</v>
      </c>
      <c r="V13" s="305">
        <v>151.80000000000001</v>
      </c>
      <c r="W13" s="107">
        <v>150</v>
      </c>
      <c r="X13" s="107">
        <v>167.3</v>
      </c>
      <c r="Y13" s="107">
        <v>180.5</v>
      </c>
      <c r="Z13" s="305">
        <v>170.1</v>
      </c>
      <c r="AA13" s="107">
        <v>170.1</v>
      </c>
      <c r="AB13" s="107">
        <v>211.1</v>
      </c>
      <c r="AC13" s="107">
        <v>584.29999999999995</v>
      </c>
      <c r="AD13" s="305">
        <v>503.8</v>
      </c>
      <c r="AE13" s="107">
        <v>474</v>
      </c>
      <c r="AF13" s="107">
        <v>517.5</v>
      </c>
      <c r="AG13" s="40">
        <v>445.4</v>
      </c>
      <c r="AH13" s="305">
        <v>402.6</v>
      </c>
      <c r="AI13" s="107">
        <v>330.4</v>
      </c>
      <c r="AJ13" s="107">
        <v>270.8</v>
      </c>
      <c r="AK13" s="40">
        <v>261.60000000000002</v>
      </c>
      <c r="AL13" s="305">
        <v>282.5</v>
      </c>
      <c r="AM13" s="107">
        <v>290.5</v>
      </c>
      <c r="AN13" s="107">
        <v>243.3</v>
      </c>
      <c r="AO13" s="40"/>
      <c r="AP13" s="305"/>
    </row>
    <row r="14" spans="1:491" s="10" customFormat="1" ht="20.100000000000001" customHeight="1">
      <c r="A14" s="33" t="s">
        <v>137</v>
      </c>
      <c r="B14" s="154" t="s">
        <v>138</v>
      </c>
      <c r="C14" s="22">
        <f>8.419</f>
        <v>8.4190000000000005</v>
      </c>
      <c r="D14" s="36">
        <f>(8398)*0.001</f>
        <v>8.3979999999999997</v>
      </c>
      <c r="E14" s="36">
        <f>(8378)*0.001</f>
        <v>8.3780000000000001</v>
      </c>
      <c r="F14" s="305">
        <f>(8357)*0.001</f>
        <v>8.3569999999999993</v>
      </c>
      <c r="G14" s="36">
        <f>(8336)*0.001</f>
        <v>8.3360000000000003</v>
      </c>
      <c r="H14" s="36">
        <f>(7788)*0.001</f>
        <v>7.7880000000000003</v>
      </c>
      <c r="I14" s="36">
        <f>(7427)*0.001</f>
        <v>7.4270000000000005</v>
      </c>
      <c r="J14" s="305">
        <f>(5330)*0.001</f>
        <v>5.33</v>
      </c>
      <c r="K14" s="47">
        <f>(5315)*0.001</f>
        <v>5.3150000000000004</v>
      </c>
      <c r="L14" s="26">
        <v>5.3</v>
      </c>
      <c r="M14" s="26">
        <v>5.3</v>
      </c>
      <c r="N14" s="305">
        <v>5.3</v>
      </c>
      <c r="O14" s="22">
        <v>5.2</v>
      </c>
      <c r="P14" s="22">
        <v>5.2</v>
      </c>
      <c r="Q14" s="26">
        <v>5.2</v>
      </c>
      <c r="R14" s="305">
        <v>5.2</v>
      </c>
      <c r="S14" s="107">
        <v>5.2</v>
      </c>
      <c r="T14" s="107">
        <v>5.2</v>
      </c>
      <c r="U14" s="107">
        <v>5.2</v>
      </c>
      <c r="V14" s="305">
        <v>5.0999999999999996</v>
      </c>
      <c r="W14" s="107">
        <v>5.0999999999999996</v>
      </c>
      <c r="X14" s="107">
        <v>5.0999999999999996</v>
      </c>
      <c r="Y14" s="107">
        <v>5.0999999999999996</v>
      </c>
      <c r="Z14" s="305">
        <v>5.0999999999999996</v>
      </c>
      <c r="AA14" s="107">
        <v>5.0999999999999996</v>
      </c>
      <c r="AB14" s="107">
        <v>30</v>
      </c>
      <c r="AC14" s="107">
        <v>29.9</v>
      </c>
      <c r="AD14" s="305">
        <v>29.9</v>
      </c>
      <c r="AE14" s="107">
        <v>29.7</v>
      </c>
      <c r="AF14" s="107">
        <v>29.6</v>
      </c>
      <c r="AG14" s="107">
        <v>29.5</v>
      </c>
      <c r="AH14" s="305">
        <v>29.4</v>
      </c>
      <c r="AI14" s="107">
        <v>29.3</v>
      </c>
      <c r="AJ14" s="107">
        <v>29.1</v>
      </c>
      <c r="AK14" s="107">
        <v>29</v>
      </c>
      <c r="AL14" s="305">
        <v>50</v>
      </c>
      <c r="AM14" s="107">
        <v>50.2</v>
      </c>
      <c r="AN14" s="107">
        <v>49.8</v>
      </c>
      <c r="AO14" s="107"/>
      <c r="AP14" s="305"/>
    </row>
    <row r="15" spans="1:491" s="10" customFormat="1" ht="20.100000000000001" customHeight="1">
      <c r="A15" s="33" t="s">
        <v>139</v>
      </c>
      <c r="B15" s="154" t="s">
        <v>140</v>
      </c>
      <c r="C15" s="52">
        <v>0</v>
      </c>
      <c r="D15" s="48">
        <f>(33259)*0.001</f>
        <v>33.259</v>
      </c>
      <c r="E15" s="48">
        <f>(33252)*0.001</f>
        <v>33.252000000000002</v>
      </c>
      <c r="F15" s="308">
        <f>(35125)*0.001</f>
        <v>35.125</v>
      </c>
      <c r="G15" s="48">
        <f>(34399)*0.001</f>
        <v>34.399000000000001</v>
      </c>
      <c r="H15" s="48">
        <f>(32935)*0.001</f>
        <v>32.935000000000002</v>
      </c>
      <c r="I15" s="48">
        <f>(29318)*0.001</f>
        <v>29.318000000000001</v>
      </c>
      <c r="J15" s="308">
        <f>(29551)*0.001</f>
        <v>29.551000000000002</v>
      </c>
      <c r="K15" s="49">
        <f>(26502)*0.001</f>
        <v>26.501999999999999</v>
      </c>
      <c r="L15" s="26">
        <v>46.2</v>
      </c>
      <c r="M15" s="26">
        <v>67</v>
      </c>
      <c r="N15" s="308">
        <v>81</v>
      </c>
      <c r="O15" s="22">
        <v>84.1</v>
      </c>
      <c r="P15" s="22">
        <v>82.3</v>
      </c>
      <c r="Q15" s="26">
        <v>81.2</v>
      </c>
      <c r="R15" s="308">
        <v>83.3</v>
      </c>
      <c r="S15" s="107">
        <v>81.099999999999994</v>
      </c>
      <c r="T15" s="107">
        <v>79.7</v>
      </c>
      <c r="U15" s="107">
        <v>80.400000000000006</v>
      </c>
      <c r="V15" s="308">
        <v>82.8</v>
      </c>
      <c r="W15" s="107">
        <v>83.8</v>
      </c>
      <c r="X15" s="107">
        <v>82.9</v>
      </c>
      <c r="Y15" s="107">
        <v>85.8</v>
      </c>
      <c r="Z15" s="308">
        <v>91.4</v>
      </c>
      <c r="AA15" s="107">
        <v>90.4</v>
      </c>
      <c r="AB15" s="107">
        <v>93</v>
      </c>
      <c r="AC15" s="107">
        <v>94.8</v>
      </c>
      <c r="AD15" s="308">
        <v>99.7</v>
      </c>
      <c r="AE15" s="107">
        <v>97.9</v>
      </c>
      <c r="AF15" s="107">
        <v>93.9</v>
      </c>
      <c r="AG15" s="107">
        <v>98.1</v>
      </c>
      <c r="AH15" s="308">
        <v>100.5</v>
      </c>
      <c r="AI15" s="107">
        <v>96</v>
      </c>
      <c r="AJ15" s="107">
        <v>91.1</v>
      </c>
      <c r="AK15" s="107">
        <v>94.9</v>
      </c>
      <c r="AL15" s="308">
        <v>93.5</v>
      </c>
      <c r="AM15" s="107">
        <v>90.6</v>
      </c>
      <c r="AN15" s="107">
        <v>82.1</v>
      </c>
      <c r="AO15" s="107"/>
      <c r="AP15" s="308"/>
    </row>
    <row r="16" spans="1:491" s="10" customFormat="1" ht="20.100000000000001" customHeight="1">
      <c r="A16" s="33" t="s">
        <v>141</v>
      </c>
      <c r="B16" s="157" t="s">
        <v>142</v>
      </c>
      <c r="C16" s="29">
        <v>0</v>
      </c>
      <c r="D16" s="29">
        <v>0</v>
      </c>
      <c r="E16" s="29">
        <v>0</v>
      </c>
      <c r="F16" s="309">
        <v>0</v>
      </c>
      <c r="G16" s="29">
        <v>0</v>
      </c>
      <c r="H16" s="29">
        <v>0</v>
      </c>
      <c r="I16" s="29">
        <v>0</v>
      </c>
      <c r="J16" s="309">
        <v>0</v>
      </c>
      <c r="K16" s="29">
        <v>0</v>
      </c>
      <c r="L16" s="29">
        <v>0</v>
      </c>
      <c r="M16" s="29">
        <v>0</v>
      </c>
      <c r="N16" s="309">
        <v>0</v>
      </c>
      <c r="O16" s="29">
        <v>0</v>
      </c>
      <c r="P16" s="29">
        <v>0</v>
      </c>
      <c r="Q16" s="29">
        <v>0</v>
      </c>
      <c r="R16" s="309">
        <v>0</v>
      </c>
      <c r="S16" s="107">
        <v>180.5</v>
      </c>
      <c r="T16" s="107">
        <v>0</v>
      </c>
      <c r="U16" s="107">
        <v>0</v>
      </c>
      <c r="V16" s="309">
        <v>0</v>
      </c>
      <c r="W16" s="107">
        <v>0</v>
      </c>
      <c r="X16" s="107">
        <v>0</v>
      </c>
      <c r="Y16" s="107">
        <v>0</v>
      </c>
      <c r="Z16" s="309">
        <v>0</v>
      </c>
      <c r="AA16" s="107">
        <v>0</v>
      </c>
      <c r="AB16" s="107">
        <v>0</v>
      </c>
      <c r="AC16" s="107">
        <v>0</v>
      </c>
      <c r="AD16" s="309">
        <v>0</v>
      </c>
      <c r="AE16" s="107">
        <v>0</v>
      </c>
      <c r="AF16" s="107">
        <v>0</v>
      </c>
      <c r="AG16" s="107">
        <v>0</v>
      </c>
      <c r="AH16" s="309">
        <v>0</v>
      </c>
      <c r="AI16" s="107">
        <v>0</v>
      </c>
      <c r="AJ16" s="107">
        <v>0</v>
      </c>
      <c r="AK16" s="107">
        <v>0</v>
      </c>
      <c r="AL16" s="309">
        <v>0</v>
      </c>
      <c r="AM16" s="107">
        <v>0</v>
      </c>
      <c r="AN16" s="107">
        <v>0</v>
      </c>
      <c r="AO16" s="107"/>
      <c r="AP16" s="309"/>
    </row>
    <row r="17" spans="1:42" s="10" customFormat="1" ht="20.100000000000001" customHeight="1">
      <c r="A17" s="33" t="s">
        <v>143</v>
      </c>
      <c r="B17" s="157" t="s">
        <v>144</v>
      </c>
      <c r="C17" s="29"/>
      <c r="D17" s="29"/>
      <c r="E17" s="29"/>
      <c r="F17" s="309"/>
      <c r="G17" s="29"/>
      <c r="H17" s="29"/>
      <c r="I17" s="29"/>
      <c r="J17" s="309"/>
      <c r="K17" s="29"/>
      <c r="L17" s="29"/>
      <c r="M17" s="29"/>
      <c r="N17" s="309"/>
      <c r="O17" s="29"/>
      <c r="P17" s="29"/>
      <c r="Q17" s="29"/>
      <c r="R17" s="309"/>
      <c r="S17" s="107"/>
      <c r="T17" s="107"/>
      <c r="U17" s="107"/>
      <c r="V17" s="309"/>
      <c r="W17" s="107"/>
      <c r="X17" s="107"/>
      <c r="Y17" s="107"/>
      <c r="Z17" s="309"/>
      <c r="AA17" s="107"/>
      <c r="AB17" s="107"/>
      <c r="AC17" s="107"/>
      <c r="AD17" s="309">
        <v>616.9</v>
      </c>
      <c r="AE17" s="107"/>
      <c r="AF17" s="107"/>
      <c r="AG17" s="107"/>
      <c r="AH17" s="309">
        <v>776.5</v>
      </c>
      <c r="AI17" s="107">
        <v>749.5</v>
      </c>
      <c r="AJ17" s="107">
        <v>747.8</v>
      </c>
      <c r="AK17" s="107">
        <v>791.7</v>
      </c>
      <c r="AL17" s="309">
        <v>832</v>
      </c>
      <c r="AM17" s="107">
        <v>797.7</v>
      </c>
      <c r="AN17" s="107">
        <v>774</v>
      </c>
      <c r="AO17" s="107"/>
      <c r="AP17" s="309"/>
    </row>
    <row r="18" spans="1:42" s="10" customFormat="1" ht="20.100000000000001" customHeight="1">
      <c r="A18" s="33" t="s">
        <v>145</v>
      </c>
      <c r="B18" s="157" t="s">
        <v>146</v>
      </c>
      <c r="C18" s="22">
        <f>92.159</f>
        <v>92.159000000000006</v>
      </c>
      <c r="D18" s="36">
        <f>(84770)*0.001</f>
        <v>84.77</v>
      </c>
      <c r="E18" s="36">
        <f>(116704)*0.001</f>
        <v>116.70400000000001</v>
      </c>
      <c r="F18" s="305">
        <f>(109642)*0.001</f>
        <v>109.642</v>
      </c>
      <c r="G18" s="36">
        <f>(62960)*0.001</f>
        <v>62.96</v>
      </c>
      <c r="H18" s="36">
        <f>(61422)*0.001</f>
        <v>61.422000000000004</v>
      </c>
      <c r="I18" s="36">
        <f>(27107)*0.001</f>
        <v>27.106999999999999</v>
      </c>
      <c r="J18" s="305">
        <f>(20803)*0.001</f>
        <v>20.803000000000001</v>
      </c>
      <c r="K18" s="47">
        <f>(6430)*0.001</f>
        <v>6.43</v>
      </c>
      <c r="L18" s="26">
        <v>107.4</v>
      </c>
      <c r="M18" s="26">
        <v>141.4</v>
      </c>
      <c r="N18" s="305">
        <v>198.5</v>
      </c>
      <c r="O18" s="22">
        <v>238</v>
      </c>
      <c r="P18" s="22">
        <v>232.8</v>
      </c>
      <c r="Q18" s="26">
        <v>232.7</v>
      </c>
      <c r="R18" s="305">
        <v>272.8</v>
      </c>
      <c r="S18" s="107">
        <v>295.39999999999998</v>
      </c>
      <c r="T18" s="107">
        <v>331.8</v>
      </c>
      <c r="U18" s="107">
        <v>373.3</v>
      </c>
      <c r="V18" s="305">
        <v>452</v>
      </c>
      <c r="W18" s="107">
        <v>476.3</v>
      </c>
      <c r="X18" s="107">
        <v>508.1</v>
      </c>
      <c r="Y18" s="107">
        <v>544.20000000000005</v>
      </c>
      <c r="Z18" s="305">
        <v>1270.7</v>
      </c>
      <c r="AA18" s="107">
        <v>1280.5999999999999</v>
      </c>
      <c r="AB18" s="107">
        <v>649.29999999999995</v>
      </c>
      <c r="AC18" s="107">
        <v>647.9</v>
      </c>
      <c r="AD18" s="305">
        <v>84.2</v>
      </c>
      <c r="AE18" s="107">
        <v>714.5</v>
      </c>
      <c r="AF18" s="107">
        <v>781.6</v>
      </c>
      <c r="AG18" s="107">
        <v>830.6</v>
      </c>
      <c r="AH18" s="305">
        <v>1315.8</v>
      </c>
      <c r="AI18" s="107">
        <v>1337.2</v>
      </c>
      <c r="AJ18" s="107">
        <v>1314.7</v>
      </c>
      <c r="AK18" s="107">
        <v>1329.2</v>
      </c>
      <c r="AL18" s="305">
        <v>1283.5999999999999</v>
      </c>
      <c r="AM18" s="107">
        <v>1330.6</v>
      </c>
      <c r="AN18" s="107">
        <v>1799.7</v>
      </c>
      <c r="AO18" s="107"/>
      <c r="AP18" s="305"/>
    </row>
    <row r="19" spans="1:42" s="73" customFormat="1" ht="25.5">
      <c r="A19" s="80" t="s">
        <v>147</v>
      </c>
      <c r="B19" s="158" t="s">
        <v>148</v>
      </c>
      <c r="C19" s="81"/>
      <c r="D19" s="81"/>
      <c r="E19" s="81"/>
      <c r="F19" s="305"/>
      <c r="G19" s="81"/>
      <c r="H19" s="81"/>
      <c r="I19" s="81"/>
      <c r="J19" s="310"/>
      <c r="K19" s="81"/>
      <c r="L19" s="81"/>
      <c r="M19" s="81"/>
      <c r="N19" s="310"/>
      <c r="O19" s="81"/>
      <c r="P19" s="81"/>
      <c r="Q19" s="81"/>
      <c r="R19" s="310"/>
      <c r="S19" s="81"/>
      <c r="T19" s="81"/>
      <c r="U19" s="81"/>
      <c r="V19" s="309">
        <v>0</v>
      </c>
      <c r="W19" s="81"/>
      <c r="X19" s="81"/>
      <c r="Y19" s="81"/>
      <c r="Z19" s="654">
        <v>665.2</v>
      </c>
      <c r="AA19" s="108">
        <v>681.2</v>
      </c>
      <c r="AB19" s="108">
        <v>40.4</v>
      </c>
      <c r="AC19" s="108">
        <v>36.9</v>
      </c>
      <c r="AD19" s="654">
        <v>43</v>
      </c>
      <c r="AE19" s="108">
        <v>41.3</v>
      </c>
      <c r="AF19" s="81">
        <v>67.5</v>
      </c>
      <c r="AG19" s="108">
        <v>66.2</v>
      </c>
      <c r="AH19" s="654">
        <v>1282.4000000000001</v>
      </c>
      <c r="AI19" s="108">
        <v>1306.0999999999999</v>
      </c>
      <c r="AJ19" s="108">
        <v>1284.0999999999999</v>
      </c>
      <c r="AK19" s="108">
        <v>1298.2</v>
      </c>
      <c r="AL19" s="654">
        <v>1257.8</v>
      </c>
      <c r="AM19" s="108">
        <v>1274.3</v>
      </c>
      <c r="AN19" s="287">
        <v>1740.2</v>
      </c>
      <c r="AO19" s="108"/>
      <c r="AP19" s="310"/>
    </row>
    <row r="20" spans="1:42" s="19" customFormat="1" ht="20.100000000000001" customHeight="1">
      <c r="A20" s="35" t="s">
        <v>149</v>
      </c>
      <c r="B20" s="159" t="s">
        <v>150</v>
      </c>
      <c r="C20" s="28">
        <v>0</v>
      </c>
      <c r="D20" s="28">
        <v>0</v>
      </c>
      <c r="E20" s="28">
        <v>0</v>
      </c>
      <c r="F20" s="305"/>
      <c r="G20" s="28">
        <v>0</v>
      </c>
      <c r="H20" s="28">
        <v>0</v>
      </c>
      <c r="I20" s="28">
        <v>0</v>
      </c>
      <c r="J20" s="311">
        <v>0</v>
      </c>
      <c r="K20" s="38">
        <v>0</v>
      </c>
      <c r="L20" s="28">
        <v>0</v>
      </c>
      <c r="M20" s="28">
        <v>0</v>
      </c>
      <c r="N20" s="311">
        <v>1.2</v>
      </c>
      <c r="O20" s="28">
        <v>0</v>
      </c>
      <c r="P20" s="28">
        <v>0</v>
      </c>
      <c r="Q20" s="28">
        <v>0</v>
      </c>
      <c r="R20" s="311">
        <v>6.9</v>
      </c>
      <c r="S20" s="108">
        <v>0.6</v>
      </c>
      <c r="T20" s="108">
        <v>0</v>
      </c>
      <c r="U20" s="108">
        <v>3.5</v>
      </c>
      <c r="V20" s="654">
        <v>9.5</v>
      </c>
      <c r="W20" s="108">
        <v>7.8</v>
      </c>
      <c r="X20" s="108">
        <v>4.9000000000000004</v>
      </c>
      <c r="Y20" s="108">
        <v>2.5</v>
      </c>
      <c r="Z20" s="654">
        <v>1.9</v>
      </c>
      <c r="AA20" s="108">
        <v>0.1</v>
      </c>
      <c r="AB20" s="108">
        <v>1.4</v>
      </c>
      <c r="AC20" s="108">
        <v>2.7</v>
      </c>
      <c r="AD20" s="683">
        <v>0</v>
      </c>
      <c r="AE20" s="108">
        <v>0</v>
      </c>
      <c r="AF20" s="108">
        <v>0</v>
      </c>
      <c r="AG20" s="108">
        <v>0.2</v>
      </c>
      <c r="AH20" s="654">
        <v>1.2</v>
      </c>
      <c r="AI20" s="108">
        <v>0</v>
      </c>
      <c r="AJ20" s="108">
        <v>0</v>
      </c>
      <c r="AK20" s="108">
        <v>0</v>
      </c>
      <c r="AL20" s="654">
        <v>0.4</v>
      </c>
      <c r="AM20" s="108">
        <v>2.9</v>
      </c>
      <c r="AN20" s="287">
        <v>4</v>
      </c>
      <c r="AO20" s="108"/>
      <c r="AP20" s="311"/>
    </row>
    <row r="21" spans="1:42" s="10" customFormat="1" ht="20.100000000000001" customHeight="1" thickBot="1">
      <c r="A21" s="33" t="s">
        <v>151</v>
      </c>
      <c r="B21" s="154" t="s">
        <v>152</v>
      </c>
      <c r="C21" s="22">
        <f>30.5</f>
        <v>30.5</v>
      </c>
      <c r="D21" s="36">
        <f>(40245)*0.001</f>
        <v>40.244999999999997</v>
      </c>
      <c r="E21" s="36">
        <f>(37018)*0.001</f>
        <v>37.018000000000001</v>
      </c>
      <c r="F21" s="305">
        <f>(31356)*0.001</f>
        <v>31.356000000000002</v>
      </c>
      <c r="G21" s="36">
        <f>(30260)*0.001</f>
        <v>30.26</v>
      </c>
      <c r="H21" s="36">
        <f>(27326)*0.001</f>
        <v>27.326000000000001</v>
      </c>
      <c r="I21" s="36">
        <f>(27552)*0.001</f>
        <v>27.552</v>
      </c>
      <c r="J21" s="305">
        <f>(38854)*0.001</f>
        <v>38.853999999999999</v>
      </c>
      <c r="K21" s="47">
        <f>(34685)*0.001</f>
        <v>34.685000000000002</v>
      </c>
      <c r="L21" s="26">
        <v>240.5</v>
      </c>
      <c r="M21" s="26">
        <v>285.7</v>
      </c>
      <c r="N21" s="305">
        <v>281.10000000000002</v>
      </c>
      <c r="O21" s="22">
        <v>229</v>
      </c>
      <c r="P21" s="22">
        <v>260.89999999999998</v>
      </c>
      <c r="Q21" s="26">
        <v>107.2</v>
      </c>
      <c r="R21" s="305">
        <v>87.6</v>
      </c>
      <c r="S21" s="107">
        <v>211.3</v>
      </c>
      <c r="T21" s="107">
        <v>236.5</v>
      </c>
      <c r="U21" s="107">
        <v>238.4</v>
      </c>
      <c r="V21" s="305">
        <v>232.7</v>
      </c>
      <c r="W21" s="107">
        <v>249.3</v>
      </c>
      <c r="X21" s="107">
        <v>199.9</v>
      </c>
      <c r="Y21" s="107">
        <v>192.1</v>
      </c>
      <c r="Z21" s="305">
        <v>197.2</v>
      </c>
      <c r="AA21" s="107">
        <v>178.4</v>
      </c>
      <c r="AB21" s="107">
        <v>216</v>
      </c>
      <c r="AC21" s="107">
        <v>213</v>
      </c>
      <c r="AD21" s="305">
        <v>259.7</v>
      </c>
      <c r="AE21" s="107">
        <v>258.2</v>
      </c>
      <c r="AF21" s="107">
        <v>260.5</v>
      </c>
      <c r="AG21" s="107">
        <v>267.3</v>
      </c>
      <c r="AH21" s="305">
        <v>241.2</v>
      </c>
      <c r="AI21" s="107">
        <v>243.2</v>
      </c>
      <c r="AJ21" s="107">
        <v>260.7</v>
      </c>
      <c r="AK21" s="107">
        <v>242.5</v>
      </c>
      <c r="AL21" s="305">
        <v>223.2</v>
      </c>
      <c r="AM21" s="107">
        <v>158.6</v>
      </c>
      <c r="AN21" s="107">
        <v>106.6</v>
      </c>
      <c r="AO21" s="107"/>
      <c r="AP21" s="305"/>
    </row>
    <row r="22" spans="1:42" s="321" customFormat="1" ht="24.95" customHeight="1" thickBot="1">
      <c r="A22" s="551" t="s">
        <v>153</v>
      </c>
      <c r="B22" s="551" t="s">
        <v>154</v>
      </c>
      <c r="C22" s="552">
        <f t="shared" ref="C22:K22" si="0">(SUM(C6:C21))</f>
        <v>4228.9560000000001</v>
      </c>
      <c r="D22" s="553">
        <f t="shared" si="0"/>
        <v>4425.1450000000004</v>
      </c>
      <c r="E22" s="553">
        <f t="shared" si="0"/>
        <v>4456.701</v>
      </c>
      <c r="F22" s="554">
        <f t="shared" si="0"/>
        <v>4476.1480000000001</v>
      </c>
      <c r="G22" s="553">
        <f t="shared" si="0"/>
        <v>4424.8490000000011</v>
      </c>
      <c r="H22" s="553">
        <f t="shared" si="0"/>
        <v>4428.5439999999999</v>
      </c>
      <c r="I22" s="553">
        <f t="shared" si="0"/>
        <v>4436.0960000000005</v>
      </c>
      <c r="J22" s="554">
        <f t="shared" si="0"/>
        <v>4455.8450000000003</v>
      </c>
      <c r="K22" s="552">
        <f t="shared" si="0"/>
        <v>4454.3520000000008</v>
      </c>
      <c r="L22" s="553">
        <f>SUM(L6:L21)</f>
        <v>23391.8</v>
      </c>
      <c r="M22" s="553">
        <f>SUM(M6:M21)</f>
        <v>23581.399999999998</v>
      </c>
      <c r="N22" s="554">
        <f t="shared" ref="N22:Y22" si="1">(SUM(N6:N21))-N20</f>
        <v>23356.1</v>
      </c>
      <c r="O22" s="552">
        <f t="shared" si="1"/>
        <v>23132</v>
      </c>
      <c r="P22" s="553">
        <f t="shared" si="1"/>
        <v>22867.599999999999</v>
      </c>
      <c r="Q22" s="553">
        <f t="shared" si="1"/>
        <v>22396.3</v>
      </c>
      <c r="R22" s="554">
        <f t="shared" si="1"/>
        <v>22261.199999999997</v>
      </c>
      <c r="S22" s="552">
        <f t="shared" si="1"/>
        <v>24489.499999999996</v>
      </c>
      <c r="T22" s="553">
        <f t="shared" si="1"/>
        <v>24377.8</v>
      </c>
      <c r="U22" s="553">
        <f t="shared" si="1"/>
        <v>24047.600000000002</v>
      </c>
      <c r="V22" s="554">
        <f t="shared" si="1"/>
        <v>23958.899999999998</v>
      </c>
      <c r="W22" s="552">
        <f t="shared" si="1"/>
        <v>23642.099999999995</v>
      </c>
      <c r="X22" s="553">
        <f t="shared" si="1"/>
        <v>23454.6</v>
      </c>
      <c r="Y22" s="553">
        <f t="shared" si="1"/>
        <v>23215.999999999996</v>
      </c>
      <c r="Z22" s="554">
        <f>(SUM(Z6:Z21))-Z20-Z19</f>
        <v>23824.5</v>
      </c>
      <c r="AA22" s="552">
        <f>SUM(AA6:AA18,AA21)</f>
        <v>23530.6</v>
      </c>
      <c r="AB22" s="553">
        <f>SUM(AB6:AB18,AB21)</f>
        <v>24924.399999999998</v>
      </c>
      <c r="AC22" s="553">
        <f>SUM(AC6:AC18,AC21)</f>
        <v>25095.3</v>
      </c>
      <c r="AD22" s="554">
        <f>(SUM(AD6:AD21))-AD20-AD19</f>
        <v>25274.100000000002</v>
      </c>
      <c r="AE22" s="552">
        <f>SUM(AE6:AE18,AE21)</f>
        <v>26511.500000000004</v>
      </c>
      <c r="AF22" s="553">
        <f>SUM(AF6:AF18,AF21)</f>
        <v>26473.100000000002</v>
      </c>
      <c r="AG22" s="553">
        <f>SUM(AG6:AG18,AG21)</f>
        <v>26264.3</v>
      </c>
      <c r="AH22" s="554">
        <f>(SUM(AH6:AH21))-AH20-AH19</f>
        <v>27604.7</v>
      </c>
      <c r="AI22" s="552">
        <f>SUM(AI6:AI18,AI21)</f>
        <v>27318.900000000005</v>
      </c>
      <c r="AJ22" s="553">
        <f>SUM(AJ6:AJ18,AJ21)</f>
        <v>27109.599999999995</v>
      </c>
      <c r="AK22" s="553">
        <f>SUM(AK6:AK18,AK21)</f>
        <v>27531.8</v>
      </c>
      <c r="AL22" s="554">
        <f>(SUM(AL6:AL21))-AL20-AL19</f>
        <v>27837.800000000003</v>
      </c>
      <c r="AM22" s="552">
        <f>SUM(AM6:AM18,AM21)</f>
        <v>24265.799999999996</v>
      </c>
      <c r="AN22" s="553">
        <f>SUM(AN6:AN18,AN21)</f>
        <v>23560.399999999994</v>
      </c>
      <c r="AO22" s="553">
        <f>SUM(AO6:AO18,AO21)</f>
        <v>0</v>
      </c>
      <c r="AP22" s="554">
        <f>(SUM(AP6:AP21))-AP20-AP19</f>
        <v>0</v>
      </c>
    </row>
    <row r="23" spans="1:42" s="12" customFormat="1" ht="20.100000000000001" customHeight="1">
      <c r="A23" s="33" t="s">
        <v>155</v>
      </c>
      <c r="B23" s="154" t="s">
        <v>156</v>
      </c>
      <c r="C23" s="22">
        <f>176.114</f>
        <v>176.114</v>
      </c>
      <c r="D23" s="36">
        <f>(167251)*0.001</f>
        <v>167.251</v>
      </c>
      <c r="E23" s="36">
        <f>(171461)*0.001</f>
        <v>171.46100000000001</v>
      </c>
      <c r="F23" s="305">
        <f>(141652)*0.001</f>
        <v>141.65200000000002</v>
      </c>
      <c r="G23" s="36">
        <f>(155399)*0.001</f>
        <v>155.399</v>
      </c>
      <c r="H23" s="36">
        <f>(170743)*0.001</f>
        <v>170.74299999999999</v>
      </c>
      <c r="I23" s="36">
        <f>(208533)*0.001</f>
        <v>208.53300000000002</v>
      </c>
      <c r="J23" s="305">
        <f>(181341)*0.001</f>
        <v>181.34100000000001</v>
      </c>
      <c r="K23" s="47">
        <f>(228936)*0.001</f>
        <v>228.93600000000001</v>
      </c>
      <c r="L23" s="26">
        <v>199.1</v>
      </c>
      <c r="M23" s="26">
        <v>172.6</v>
      </c>
      <c r="N23" s="305">
        <v>152.1</v>
      </c>
      <c r="O23" s="22">
        <v>163.1</v>
      </c>
      <c r="P23" s="22">
        <v>170.4</v>
      </c>
      <c r="Q23" s="26">
        <v>255.6</v>
      </c>
      <c r="R23" s="305">
        <v>192.2</v>
      </c>
      <c r="S23" s="107">
        <v>234.7</v>
      </c>
      <c r="T23" s="107">
        <v>163.5</v>
      </c>
      <c r="U23" s="107">
        <v>219.1</v>
      </c>
      <c r="V23" s="305">
        <v>192</v>
      </c>
      <c r="W23" s="107">
        <v>179.8</v>
      </c>
      <c r="X23" s="107">
        <v>214.3</v>
      </c>
      <c r="Y23" s="107">
        <v>243.6</v>
      </c>
      <c r="Z23" s="305">
        <v>251.7</v>
      </c>
      <c r="AA23" s="107">
        <v>256.60000000000002</v>
      </c>
      <c r="AB23" s="107">
        <v>353.2</v>
      </c>
      <c r="AC23" s="107">
        <v>544.5</v>
      </c>
      <c r="AD23" s="305">
        <v>543.20000000000005</v>
      </c>
      <c r="AE23" s="107">
        <v>539.79999999999995</v>
      </c>
      <c r="AF23" s="107">
        <v>538.9</v>
      </c>
      <c r="AG23" s="107">
        <v>552.6</v>
      </c>
      <c r="AH23" s="305">
        <v>512.29999999999995</v>
      </c>
      <c r="AI23" s="107">
        <v>535.20000000000005</v>
      </c>
      <c r="AJ23" s="107">
        <v>516.20000000000005</v>
      </c>
      <c r="AK23" s="107">
        <v>525.9</v>
      </c>
      <c r="AL23" s="305">
        <v>413.2</v>
      </c>
      <c r="AM23" s="107">
        <v>412.7</v>
      </c>
      <c r="AN23" s="107">
        <v>477</v>
      </c>
      <c r="AO23" s="107"/>
      <c r="AP23" s="305"/>
    </row>
    <row r="24" spans="1:42" s="12" customFormat="1" ht="20.100000000000001" customHeight="1">
      <c r="A24" s="33" t="s">
        <v>157</v>
      </c>
      <c r="B24" s="154" t="s">
        <v>158</v>
      </c>
      <c r="C24" s="22"/>
      <c r="D24" s="36"/>
      <c r="E24" s="36"/>
      <c r="F24" s="305"/>
      <c r="G24" s="36"/>
      <c r="H24" s="36"/>
      <c r="I24" s="36"/>
      <c r="J24" s="305"/>
      <c r="K24" s="47"/>
      <c r="L24" s="26"/>
      <c r="M24" s="26"/>
      <c r="N24" s="305"/>
      <c r="O24" s="22"/>
      <c r="P24" s="22"/>
      <c r="Q24" s="26"/>
      <c r="R24" s="305"/>
      <c r="S24" s="107"/>
      <c r="T24" s="107"/>
      <c r="U24" s="107"/>
      <c r="V24" s="305"/>
      <c r="W24" s="107"/>
      <c r="X24" s="107"/>
      <c r="Y24" s="107"/>
      <c r="Z24" s="305"/>
      <c r="AA24" s="107">
        <v>680.8</v>
      </c>
      <c r="AB24" s="107">
        <v>681.5</v>
      </c>
      <c r="AC24" s="107">
        <v>655.20000000000005</v>
      </c>
      <c r="AD24" s="305">
        <v>648.4</v>
      </c>
      <c r="AE24" s="107">
        <v>657.6</v>
      </c>
      <c r="AF24" s="107">
        <v>651.70000000000005</v>
      </c>
      <c r="AG24" s="107">
        <v>639.20000000000005</v>
      </c>
      <c r="AH24" s="305">
        <v>638.70000000000005</v>
      </c>
      <c r="AI24" s="107">
        <v>628.1</v>
      </c>
      <c r="AJ24" s="107">
        <v>592.5</v>
      </c>
      <c r="AK24" s="107">
        <v>567.5</v>
      </c>
      <c r="AL24" s="305">
        <v>537.70000000000005</v>
      </c>
      <c r="AM24" s="107">
        <v>505.6</v>
      </c>
      <c r="AN24" s="107">
        <v>476.2</v>
      </c>
      <c r="AO24" s="107"/>
      <c r="AP24" s="305"/>
    </row>
    <row r="25" spans="1:42" s="10" customFormat="1" ht="20.100000000000001" customHeight="1">
      <c r="A25" s="33" t="s">
        <v>159</v>
      </c>
      <c r="B25" s="154" t="s">
        <v>160</v>
      </c>
      <c r="C25" s="22">
        <f>185.376</f>
        <v>185.376</v>
      </c>
      <c r="D25" s="36">
        <f>(185528)*0.001</f>
        <v>185.52799999999999</v>
      </c>
      <c r="E25" s="36">
        <f>(177054)*0.001</f>
        <v>177.054</v>
      </c>
      <c r="F25" s="305">
        <f>(161974)*0.001</f>
        <v>161.97399999999999</v>
      </c>
      <c r="G25" s="36">
        <f>(150701)*0.001</f>
        <v>150.70099999999999</v>
      </c>
      <c r="H25" s="36">
        <f>(157445)*0.001</f>
        <v>157.44499999999999</v>
      </c>
      <c r="I25" s="36">
        <f>(155698)*0.001</f>
        <v>155.69800000000001</v>
      </c>
      <c r="J25" s="305">
        <f>(146771)*0.001</f>
        <v>146.77100000000002</v>
      </c>
      <c r="K25" s="47">
        <f>(163072)*0.001</f>
        <v>163.072</v>
      </c>
      <c r="L25" s="21">
        <v>343.8</v>
      </c>
      <c r="M25" s="21">
        <v>316.60000000000002</v>
      </c>
      <c r="N25" s="305">
        <v>301.39999999999998</v>
      </c>
      <c r="O25" s="22">
        <v>252.9</v>
      </c>
      <c r="P25" s="22">
        <v>261.7</v>
      </c>
      <c r="Q25" s="21">
        <v>264.10000000000002</v>
      </c>
      <c r="R25" s="305">
        <v>281</v>
      </c>
      <c r="S25" s="107">
        <v>260.2</v>
      </c>
      <c r="T25" s="107">
        <v>270</v>
      </c>
      <c r="U25" s="107">
        <v>281</v>
      </c>
      <c r="V25" s="305">
        <v>278.7</v>
      </c>
      <c r="W25" s="107">
        <v>237.2</v>
      </c>
      <c r="X25" s="107">
        <v>279</v>
      </c>
      <c r="Y25" s="107">
        <v>295.60000000000002</v>
      </c>
      <c r="Z25" s="305">
        <v>283.7</v>
      </c>
      <c r="AA25" s="106">
        <v>305.3</v>
      </c>
      <c r="AB25" s="107">
        <v>362.1</v>
      </c>
      <c r="AC25" s="107">
        <v>387.6</v>
      </c>
      <c r="AD25" s="305">
        <v>394</v>
      </c>
      <c r="AE25" s="106">
        <v>333.7</v>
      </c>
      <c r="AF25" s="107">
        <v>344.5</v>
      </c>
      <c r="AG25" s="107">
        <v>359.6</v>
      </c>
      <c r="AH25" s="305">
        <v>306.8</v>
      </c>
      <c r="AI25" s="106">
        <v>398.3</v>
      </c>
      <c r="AJ25" s="107">
        <v>502.8</v>
      </c>
      <c r="AK25" s="107">
        <v>409</v>
      </c>
      <c r="AL25" s="305">
        <v>299.39999999999998</v>
      </c>
      <c r="AM25" s="106">
        <v>359.8</v>
      </c>
      <c r="AN25" s="106">
        <v>439.1</v>
      </c>
      <c r="AO25" s="107"/>
      <c r="AP25" s="305"/>
    </row>
    <row r="26" spans="1:42" s="10" customFormat="1" ht="20.100000000000001" customHeight="1">
      <c r="A26" s="33" t="s">
        <v>161</v>
      </c>
      <c r="B26" s="154" t="s">
        <v>162</v>
      </c>
      <c r="C26" s="22">
        <f>1.102</f>
        <v>1.1020000000000001</v>
      </c>
      <c r="D26" s="23">
        <f>0</f>
        <v>0</v>
      </c>
      <c r="E26" s="23">
        <f>0</f>
        <v>0</v>
      </c>
      <c r="F26" s="307">
        <f>0</f>
        <v>0</v>
      </c>
      <c r="G26" s="23">
        <f>0</f>
        <v>0</v>
      </c>
      <c r="H26" s="23">
        <f>0</f>
        <v>0</v>
      </c>
      <c r="I26" s="23">
        <f>0</f>
        <v>0</v>
      </c>
      <c r="J26" s="307">
        <v>0</v>
      </c>
      <c r="K26" s="37">
        <v>0</v>
      </c>
      <c r="L26" s="29">
        <v>0</v>
      </c>
      <c r="M26" s="29">
        <v>0</v>
      </c>
      <c r="N26" s="307">
        <f>0*($A$84)</f>
        <v>0</v>
      </c>
      <c r="O26" s="23">
        <f>0*($A$84)</f>
        <v>0</v>
      </c>
      <c r="P26" s="23">
        <v>0</v>
      </c>
      <c r="Q26" s="29">
        <v>0</v>
      </c>
      <c r="R26" s="307">
        <v>0</v>
      </c>
      <c r="S26" s="40">
        <v>0</v>
      </c>
      <c r="T26" s="40">
        <v>0</v>
      </c>
      <c r="U26" s="40">
        <v>0</v>
      </c>
      <c r="V26" s="307">
        <v>0</v>
      </c>
      <c r="W26" s="40">
        <v>0</v>
      </c>
      <c r="X26" s="40">
        <v>0</v>
      </c>
      <c r="Y26" s="40">
        <v>0</v>
      </c>
      <c r="Z26" s="307">
        <v>0</v>
      </c>
      <c r="AA26" s="107">
        <v>0</v>
      </c>
      <c r="AB26" s="106">
        <v>0</v>
      </c>
      <c r="AC26" s="107">
        <v>0</v>
      </c>
      <c r="AD26" s="307">
        <v>0</v>
      </c>
      <c r="AE26" s="107">
        <v>0</v>
      </c>
      <c r="AF26" s="40">
        <v>0</v>
      </c>
      <c r="AG26" s="107">
        <v>0</v>
      </c>
      <c r="AH26" s="307">
        <v>0</v>
      </c>
      <c r="AI26" s="107">
        <v>0</v>
      </c>
      <c r="AJ26" s="40">
        <v>0</v>
      </c>
      <c r="AK26" s="107">
        <v>0</v>
      </c>
      <c r="AL26" s="307">
        <v>0</v>
      </c>
      <c r="AM26" s="107">
        <v>0</v>
      </c>
      <c r="AN26" s="107">
        <v>0</v>
      </c>
      <c r="AO26" s="107"/>
      <c r="AP26" s="307"/>
    </row>
    <row r="27" spans="1:42" s="10" customFormat="1" ht="20.100000000000001" customHeight="1">
      <c r="A27" s="33" t="s">
        <v>163</v>
      </c>
      <c r="B27" s="154" t="s">
        <v>164</v>
      </c>
      <c r="C27" s="22">
        <f>342.386</f>
        <v>342.38600000000002</v>
      </c>
      <c r="D27" s="36">
        <f>(382365)*0.001</f>
        <v>382.36500000000001</v>
      </c>
      <c r="E27" s="36">
        <f>(376949)*0.001</f>
        <v>376.94900000000001</v>
      </c>
      <c r="F27" s="305">
        <f>(375659)*0.001</f>
        <v>375.65899999999999</v>
      </c>
      <c r="G27" s="36">
        <f>(403593)*0.001</f>
        <v>403.59300000000002</v>
      </c>
      <c r="H27" s="36">
        <f>(410902)*0.001</f>
        <v>410.90199999999999</v>
      </c>
      <c r="I27" s="36">
        <f>(401503)*0.001</f>
        <v>401.50299999999999</v>
      </c>
      <c r="J27" s="305">
        <f>(374424)*0.001</f>
        <v>374.42400000000004</v>
      </c>
      <c r="K27" s="47">
        <f>(398589)*0.001</f>
        <v>398.589</v>
      </c>
      <c r="L27" s="21">
        <v>1374.4</v>
      </c>
      <c r="M27" s="21">
        <v>1369.9</v>
      </c>
      <c r="N27" s="305">
        <v>1453.4</v>
      </c>
      <c r="O27" s="22">
        <v>1599.5</v>
      </c>
      <c r="P27" s="22">
        <v>1988.6</v>
      </c>
      <c r="Q27" s="21">
        <v>1699.4</v>
      </c>
      <c r="R27" s="305">
        <v>1619.1</v>
      </c>
      <c r="S27" s="107">
        <v>1503.9</v>
      </c>
      <c r="T27" s="107">
        <v>1541.1</v>
      </c>
      <c r="U27" s="107">
        <v>1571.8</v>
      </c>
      <c r="V27" s="305">
        <v>1688</v>
      </c>
      <c r="W27" s="107">
        <v>1608.5</v>
      </c>
      <c r="X27" s="107">
        <v>1727</v>
      </c>
      <c r="Y27" s="107">
        <v>1758.5</v>
      </c>
      <c r="Z27" s="305">
        <v>1983.2</v>
      </c>
      <c r="AA27" s="107">
        <v>1990.7</v>
      </c>
      <c r="AB27" s="107">
        <v>2161.3000000000002</v>
      </c>
      <c r="AC27" s="107">
        <v>2197.3000000000002</v>
      </c>
      <c r="AD27" s="305">
        <v>2370.4</v>
      </c>
      <c r="AE27" s="107">
        <v>2334.6999999999998</v>
      </c>
      <c r="AF27" s="107">
        <v>2284.4</v>
      </c>
      <c r="AG27" s="107">
        <v>2291.6</v>
      </c>
      <c r="AH27" s="305">
        <v>2511.6</v>
      </c>
      <c r="AI27" s="107">
        <v>2335.9</v>
      </c>
      <c r="AJ27" s="107">
        <v>2298.1</v>
      </c>
      <c r="AK27" s="107">
        <v>2348.1999999999998</v>
      </c>
      <c r="AL27" s="305">
        <v>2390.4</v>
      </c>
      <c r="AM27" s="107">
        <v>2387.4</v>
      </c>
      <c r="AN27" s="107">
        <v>2441.5</v>
      </c>
      <c r="AO27" s="107"/>
      <c r="AP27" s="305"/>
    </row>
    <row r="28" spans="1:42" s="10" customFormat="1" ht="20.100000000000001" customHeight="1">
      <c r="A28" s="33" t="s">
        <v>165</v>
      </c>
      <c r="B28" s="154" t="s">
        <v>166</v>
      </c>
      <c r="C28" s="22">
        <f>9.894</f>
        <v>9.8940000000000001</v>
      </c>
      <c r="D28" s="36">
        <f>(263)*0.001</f>
        <v>0.26300000000000001</v>
      </c>
      <c r="E28" s="36">
        <f>(321)*0.001</f>
        <v>0.32100000000000001</v>
      </c>
      <c r="F28" s="305">
        <f>(6494)*0.001</f>
        <v>6.4939999999999998</v>
      </c>
      <c r="G28" s="36">
        <f>(1372)*0.001</f>
        <v>1.3720000000000001</v>
      </c>
      <c r="H28" s="36">
        <f>(1952)*0.001</f>
        <v>1.952</v>
      </c>
      <c r="I28" s="36">
        <f>(1195)*0.001</f>
        <v>1.1950000000000001</v>
      </c>
      <c r="J28" s="305">
        <f>(183)*0.001</f>
        <v>0.183</v>
      </c>
      <c r="K28" s="47">
        <f>(365)*0.001</f>
        <v>0.36499999999999999</v>
      </c>
      <c r="L28" s="21">
        <v>28</v>
      </c>
      <c r="M28" s="21">
        <v>26</v>
      </c>
      <c r="N28" s="305">
        <v>26</v>
      </c>
      <c r="O28" s="22">
        <v>28.9</v>
      </c>
      <c r="P28" s="22">
        <v>1.5</v>
      </c>
      <c r="Q28" s="21">
        <v>0.7</v>
      </c>
      <c r="R28" s="305">
        <v>0.7</v>
      </c>
      <c r="S28" s="107">
        <v>1.9</v>
      </c>
      <c r="T28" s="107">
        <v>1.4</v>
      </c>
      <c r="U28" s="107">
        <v>0.9</v>
      </c>
      <c r="V28" s="305">
        <v>29.1</v>
      </c>
      <c r="W28" s="107">
        <v>30.3</v>
      </c>
      <c r="X28" s="107">
        <v>17</v>
      </c>
      <c r="Y28" s="107">
        <v>25.3</v>
      </c>
      <c r="Z28" s="305">
        <v>1.3</v>
      </c>
      <c r="AA28" s="107">
        <v>55.8</v>
      </c>
      <c r="AB28" s="107">
        <v>68.7</v>
      </c>
      <c r="AC28" s="107">
        <v>65.400000000000006</v>
      </c>
      <c r="AD28" s="305">
        <v>34.6</v>
      </c>
      <c r="AE28" s="107">
        <v>36.799999999999997</v>
      </c>
      <c r="AF28" s="107">
        <v>5.6</v>
      </c>
      <c r="AG28" s="107">
        <v>4.5</v>
      </c>
      <c r="AH28" s="305">
        <v>4.8</v>
      </c>
      <c r="AI28" s="107">
        <v>7.1</v>
      </c>
      <c r="AJ28" s="107">
        <v>4.7</v>
      </c>
      <c r="AK28" s="107">
        <v>4.8</v>
      </c>
      <c r="AL28" s="305">
        <v>9</v>
      </c>
      <c r="AM28" s="107">
        <v>9.4</v>
      </c>
      <c r="AN28" s="107">
        <v>11.8</v>
      </c>
      <c r="AO28" s="107"/>
      <c r="AP28" s="305"/>
    </row>
    <row r="29" spans="1:42" s="10" customFormat="1" ht="20.100000000000001" customHeight="1">
      <c r="A29" s="33" t="s">
        <v>167</v>
      </c>
      <c r="B29" s="154" t="s">
        <v>168</v>
      </c>
      <c r="C29" s="23">
        <v>0</v>
      </c>
      <c r="D29" s="36">
        <f>(53916)*0.001</f>
        <v>53.916000000000004</v>
      </c>
      <c r="E29" s="36">
        <f>(54038)*0.001</f>
        <v>54.038000000000004</v>
      </c>
      <c r="F29" s="305">
        <f>(57096)*0.001</f>
        <v>57.096000000000004</v>
      </c>
      <c r="G29" s="36">
        <f>(60035)*0.001</f>
        <v>60.035000000000004</v>
      </c>
      <c r="H29" s="36">
        <f>(63564)*0.001</f>
        <v>63.564</v>
      </c>
      <c r="I29" s="36">
        <f>(65852)*0.001</f>
        <v>65.852000000000004</v>
      </c>
      <c r="J29" s="305">
        <f>(70055)*0.001</f>
        <v>70.055000000000007</v>
      </c>
      <c r="K29" s="47">
        <f>(70958)*0.001</f>
        <v>70.957999999999998</v>
      </c>
      <c r="L29" s="21">
        <v>91.2</v>
      </c>
      <c r="M29" s="21">
        <v>117.3</v>
      </c>
      <c r="N29" s="305">
        <v>141.69999999999999</v>
      </c>
      <c r="O29" s="22">
        <v>165.3</v>
      </c>
      <c r="P29" s="22">
        <v>186.1</v>
      </c>
      <c r="Q29" s="21">
        <v>200.4</v>
      </c>
      <c r="R29" s="305">
        <v>212.7</v>
      </c>
      <c r="S29" s="107">
        <v>213.3</v>
      </c>
      <c r="T29" s="107">
        <v>209.1</v>
      </c>
      <c r="U29" s="107">
        <v>207.6</v>
      </c>
      <c r="V29" s="305">
        <v>207.2</v>
      </c>
      <c r="W29" s="107">
        <v>205.7</v>
      </c>
      <c r="X29" s="107">
        <v>202.3</v>
      </c>
      <c r="Y29" s="107">
        <v>203.5</v>
      </c>
      <c r="Z29" s="305">
        <v>207.9</v>
      </c>
      <c r="AA29" s="107">
        <v>206.9</v>
      </c>
      <c r="AB29" s="107">
        <v>230.1</v>
      </c>
      <c r="AC29" s="107">
        <v>230.1</v>
      </c>
      <c r="AD29" s="305">
        <v>218.5</v>
      </c>
      <c r="AE29" s="107">
        <v>221.6</v>
      </c>
      <c r="AF29" s="107">
        <v>221.7</v>
      </c>
      <c r="AG29" s="107">
        <v>227.5</v>
      </c>
      <c r="AH29" s="305">
        <v>225.7</v>
      </c>
      <c r="AI29" s="107">
        <v>222.1</v>
      </c>
      <c r="AJ29" s="107">
        <v>221.4</v>
      </c>
      <c r="AK29" s="107">
        <v>218.5</v>
      </c>
      <c r="AL29" s="305">
        <v>222.4</v>
      </c>
      <c r="AM29" s="107">
        <v>222.9</v>
      </c>
      <c r="AN29" s="107">
        <v>222.5</v>
      </c>
      <c r="AO29" s="107"/>
      <c r="AP29" s="305"/>
    </row>
    <row r="30" spans="1:42" s="10" customFormat="1" ht="20.100000000000001" customHeight="1">
      <c r="A30" s="33" t="s">
        <v>169</v>
      </c>
      <c r="B30" s="154" t="s">
        <v>170</v>
      </c>
      <c r="C30" s="22">
        <f>136.299</f>
        <v>136.29900000000001</v>
      </c>
      <c r="D30" s="36">
        <f>(73814)*0.001</f>
        <v>73.814000000000007</v>
      </c>
      <c r="E30" s="36">
        <f>(53239)*0.001</f>
        <v>53.239000000000004</v>
      </c>
      <c r="F30" s="305">
        <f>(71968)*0.001</f>
        <v>71.968000000000004</v>
      </c>
      <c r="G30" s="36">
        <f>(109187)*0.001</f>
        <v>109.187</v>
      </c>
      <c r="H30" s="36">
        <f>(93754)*0.001</f>
        <v>93.754000000000005</v>
      </c>
      <c r="I30" s="36">
        <f>(113708)*0.001</f>
        <v>113.708</v>
      </c>
      <c r="J30" s="305">
        <f>(105360)*0.001</f>
        <v>105.36</v>
      </c>
      <c r="K30" s="47">
        <f>(106732)*0.001</f>
        <v>106.732</v>
      </c>
      <c r="L30" s="21">
        <v>221.9</v>
      </c>
      <c r="M30" s="21">
        <v>224.2</v>
      </c>
      <c r="N30" s="305">
        <v>160.1</v>
      </c>
      <c r="O30" s="22">
        <v>212.9</v>
      </c>
      <c r="P30" s="22">
        <v>226.2</v>
      </c>
      <c r="Q30" s="21">
        <v>255</v>
      </c>
      <c r="R30" s="305">
        <v>399.5</v>
      </c>
      <c r="S30" s="107">
        <v>69.599999999999994</v>
      </c>
      <c r="T30" s="107">
        <v>62.8</v>
      </c>
      <c r="U30" s="107">
        <v>54.9</v>
      </c>
      <c r="V30" s="305">
        <v>38.700000000000003</v>
      </c>
      <c r="W30" s="107">
        <v>72.3</v>
      </c>
      <c r="X30" s="107">
        <v>60.7</v>
      </c>
      <c r="Y30" s="107">
        <v>61.7</v>
      </c>
      <c r="Z30" s="305">
        <v>31.7</v>
      </c>
      <c r="AA30" s="107">
        <v>70.2</v>
      </c>
      <c r="AB30" s="107">
        <v>82.5</v>
      </c>
      <c r="AC30" s="107">
        <v>56.8</v>
      </c>
      <c r="AD30" s="305">
        <v>34.9</v>
      </c>
      <c r="AE30" s="107">
        <v>71.099999999999994</v>
      </c>
      <c r="AF30" s="107">
        <v>55.5</v>
      </c>
      <c r="AG30" s="107">
        <v>52.2</v>
      </c>
      <c r="AH30" s="305">
        <v>31.9</v>
      </c>
      <c r="AI30" s="107">
        <v>72.3</v>
      </c>
      <c r="AJ30" s="107">
        <v>57</v>
      </c>
      <c r="AK30" s="107">
        <v>44.2</v>
      </c>
      <c r="AL30" s="305">
        <v>39.299999999999997</v>
      </c>
      <c r="AM30" s="107">
        <v>57.7</v>
      </c>
      <c r="AN30" s="107">
        <v>44.2</v>
      </c>
      <c r="AO30" s="107"/>
      <c r="AP30" s="305"/>
    </row>
    <row r="31" spans="1:42" s="19" customFormat="1" ht="20.100000000000001" customHeight="1">
      <c r="A31" s="35" t="s">
        <v>149</v>
      </c>
      <c r="B31" s="159" t="s">
        <v>171</v>
      </c>
      <c r="C31" s="23">
        <v>0</v>
      </c>
      <c r="D31" s="23">
        <f>0</f>
        <v>0</v>
      </c>
      <c r="E31" s="23">
        <v>0</v>
      </c>
      <c r="F31" s="307">
        <f>0</f>
        <v>0</v>
      </c>
      <c r="G31" s="23">
        <f>0</f>
        <v>0</v>
      </c>
      <c r="H31" s="23">
        <v>0</v>
      </c>
      <c r="I31" s="23">
        <f>0</f>
        <v>0</v>
      </c>
      <c r="J31" s="307">
        <v>0</v>
      </c>
      <c r="K31" s="37">
        <v>0</v>
      </c>
      <c r="L31" s="23">
        <f>0*($A$84)</f>
        <v>0</v>
      </c>
      <c r="M31" s="23">
        <f>0*($A$84)</f>
        <v>0</v>
      </c>
      <c r="N31" s="307">
        <v>22.2</v>
      </c>
      <c r="O31" s="27">
        <v>26.3</v>
      </c>
      <c r="P31" s="27">
        <v>27.3</v>
      </c>
      <c r="Q31" s="30">
        <v>3.8</v>
      </c>
      <c r="R31" s="307">
        <v>10.5</v>
      </c>
      <c r="S31" s="108">
        <v>0.2</v>
      </c>
      <c r="T31" s="108">
        <v>3.6</v>
      </c>
      <c r="U31" s="108">
        <v>4.8</v>
      </c>
      <c r="V31" s="307">
        <v>6.7</v>
      </c>
      <c r="W31" s="108">
        <v>4.9000000000000004</v>
      </c>
      <c r="X31" s="108">
        <v>5.3</v>
      </c>
      <c r="Y31" s="108">
        <v>6.4</v>
      </c>
      <c r="Z31" s="307">
        <v>5.0999999999999996</v>
      </c>
      <c r="AA31" s="108">
        <v>2.7</v>
      </c>
      <c r="AB31" s="108">
        <v>1.6</v>
      </c>
      <c r="AC31" s="108">
        <v>0.4</v>
      </c>
      <c r="AD31" s="307">
        <v>0</v>
      </c>
      <c r="AE31" s="108">
        <v>0</v>
      </c>
      <c r="AF31" s="108">
        <v>0</v>
      </c>
      <c r="AG31" s="107">
        <v>0</v>
      </c>
      <c r="AH31" s="307">
        <v>0.2</v>
      </c>
      <c r="AI31" s="108">
        <v>0</v>
      </c>
      <c r="AJ31" s="108">
        <v>0.2</v>
      </c>
      <c r="AK31" s="108">
        <v>0</v>
      </c>
      <c r="AL31" s="307">
        <v>2</v>
      </c>
      <c r="AM31" s="108">
        <v>1.6</v>
      </c>
      <c r="AN31" s="287">
        <v>1.6</v>
      </c>
      <c r="AO31" s="108"/>
      <c r="AP31" s="307"/>
    </row>
    <row r="32" spans="1:42" s="10" customFormat="1" ht="20.100000000000001" customHeight="1">
      <c r="A32" s="33" t="s">
        <v>172</v>
      </c>
      <c r="B32" s="154" t="s">
        <v>173</v>
      </c>
      <c r="C32" s="23">
        <v>0</v>
      </c>
      <c r="D32" s="23">
        <f>0</f>
        <v>0</v>
      </c>
      <c r="E32" s="23">
        <v>0</v>
      </c>
      <c r="F32" s="307">
        <v>0</v>
      </c>
      <c r="G32" s="23">
        <f>0</f>
        <v>0</v>
      </c>
      <c r="H32" s="23">
        <v>0</v>
      </c>
      <c r="I32" s="23">
        <f>0</f>
        <v>0</v>
      </c>
      <c r="J32" s="307">
        <v>0</v>
      </c>
      <c r="K32" s="37">
        <v>0</v>
      </c>
      <c r="L32" s="31">
        <v>270</v>
      </c>
      <c r="M32" s="31">
        <v>30</v>
      </c>
      <c r="N32" s="307">
        <f>0*($A$84)</f>
        <v>0</v>
      </c>
      <c r="O32" s="22">
        <v>42.7</v>
      </c>
      <c r="P32" s="22">
        <v>43.1</v>
      </c>
      <c r="Q32" s="24">
        <v>0</v>
      </c>
      <c r="R32" s="307">
        <v>0</v>
      </c>
      <c r="S32" s="107">
        <v>12.4</v>
      </c>
      <c r="T32" s="107">
        <v>0</v>
      </c>
      <c r="U32" s="107">
        <v>0</v>
      </c>
      <c r="V32" s="307">
        <v>0</v>
      </c>
      <c r="W32" s="107">
        <v>0</v>
      </c>
      <c r="X32" s="107">
        <v>0</v>
      </c>
      <c r="Y32" s="107">
        <v>0</v>
      </c>
      <c r="Z32" s="307">
        <v>0</v>
      </c>
      <c r="AA32" s="107">
        <v>0</v>
      </c>
      <c r="AB32" s="107">
        <v>0</v>
      </c>
      <c r="AC32" s="107">
        <v>0</v>
      </c>
      <c r="AD32" s="307">
        <v>0</v>
      </c>
      <c r="AE32" s="107">
        <v>0</v>
      </c>
      <c r="AF32" s="107">
        <v>0</v>
      </c>
      <c r="AG32" s="107">
        <v>0</v>
      </c>
      <c r="AH32" s="307">
        <v>0</v>
      </c>
      <c r="AI32" s="107">
        <v>0</v>
      </c>
      <c r="AJ32" s="107">
        <v>0</v>
      </c>
      <c r="AK32" s="107">
        <v>0</v>
      </c>
      <c r="AL32" s="307">
        <v>0</v>
      </c>
      <c r="AM32" s="107">
        <v>0</v>
      </c>
      <c r="AN32" s="107">
        <v>0</v>
      </c>
      <c r="AO32" s="107"/>
      <c r="AP32" s="307"/>
    </row>
    <row r="33" spans="1:42" s="10" customFormat="1" ht="20.100000000000001" customHeight="1">
      <c r="A33" s="33" t="s">
        <v>174</v>
      </c>
      <c r="B33" s="154" t="s">
        <v>175</v>
      </c>
      <c r="C33" s="22">
        <f>422.627</f>
        <v>422.62700000000001</v>
      </c>
      <c r="D33" s="36">
        <f>(309519)*0.001</f>
        <v>309.51900000000001</v>
      </c>
      <c r="E33" s="36">
        <f>(225111)*0.001</f>
        <v>225.11100000000002</v>
      </c>
      <c r="F33" s="305">
        <f>(270354)*0.001</f>
        <v>270.35399999999998</v>
      </c>
      <c r="G33" s="36">
        <f>(324338)*0.001</f>
        <v>324.33800000000002</v>
      </c>
      <c r="H33" s="36">
        <f>(265803)*0.001</f>
        <v>265.803</v>
      </c>
      <c r="I33" s="36">
        <f>(215396)*0.001</f>
        <v>215.39600000000002</v>
      </c>
      <c r="J33" s="305">
        <f>(342251)*0.001</f>
        <v>342.25100000000003</v>
      </c>
      <c r="K33" s="47">
        <f>(428190)*0.001</f>
        <v>428.19</v>
      </c>
      <c r="L33" s="21">
        <v>1894.3</v>
      </c>
      <c r="M33" s="21">
        <v>1631</v>
      </c>
      <c r="N33" s="305">
        <v>1735.3</v>
      </c>
      <c r="O33" s="22">
        <v>1478.9</v>
      </c>
      <c r="P33" s="22">
        <v>1383.8</v>
      </c>
      <c r="Q33" s="21">
        <v>1059.5999999999999</v>
      </c>
      <c r="R33" s="305">
        <v>1512</v>
      </c>
      <c r="S33" s="107">
        <v>1538.6</v>
      </c>
      <c r="T33" s="107">
        <v>944.5</v>
      </c>
      <c r="U33" s="107">
        <v>1099.4000000000001</v>
      </c>
      <c r="V33" s="305">
        <v>1326</v>
      </c>
      <c r="W33" s="107">
        <v>1567.7</v>
      </c>
      <c r="X33" s="107">
        <v>1354.6</v>
      </c>
      <c r="Y33" s="107">
        <v>1080.2</v>
      </c>
      <c r="Z33" s="305">
        <v>1161.5</v>
      </c>
      <c r="AA33" s="107">
        <v>785.9</v>
      </c>
      <c r="AB33" s="107">
        <v>876.1</v>
      </c>
      <c r="AC33" s="107">
        <v>1151.5</v>
      </c>
      <c r="AD33" s="305">
        <v>1167</v>
      </c>
      <c r="AE33" s="107">
        <v>745.7</v>
      </c>
      <c r="AF33" s="107">
        <v>774.9</v>
      </c>
      <c r="AG33" s="107">
        <v>878.2</v>
      </c>
      <c r="AH33" s="305">
        <v>743.5</v>
      </c>
      <c r="AI33" s="107">
        <v>1130.5999999999999</v>
      </c>
      <c r="AJ33" s="107">
        <v>1310.4000000000001</v>
      </c>
      <c r="AK33" s="107">
        <v>1153.0999999999999</v>
      </c>
      <c r="AL33" s="305">
        <v>1355.4</v>
      </c>
      <c r="AM33" s="107">
        <v>1147.5999999999999</v>
      </c>
      <c r="AN33" s="107">
        <v>659.8</v>
      </c>
      <c r="AO33" s="107"/>
      <c r="AP33" s="305"/>
    </row>
    <row r="34" spans="1:42" s="10" customFormat="1" ht="20.100000000000001" customHeight="1" thickBot="1">
      <c r="A34" s="33" t="s">
        <v>176</v>
      </c>
      <c r="B34" s="154" t="s">
        <v>177</v>
      </c>
      <c r="C34" s="23">
        <v>0</v>
      </c>
      <c r="D34" s="23">
        <f>0</f>
        <v>0</v>
      </c>
      <c r="E34" s="23">
        <f>0</f>
        <v>0</v>
      </c>
      <c r="F34" s="307">
        <v>0</v>
      </c>
      <c r="G34" s="23">
        <f>0</f>
        <v>0</v>
      </c>
      <c r="H34" s="23">
        <v>0</v>
      </c>
      <c r="I34" s="23">
        <f>0</f>
        <v>0</v>
      </c>
      <c r="J34" s="307">
        <v>0</v>
      </c>
      <c r="K34" s="37">
        <v>0</v>
      </c>
      <c r="L34" s="31">
        <v>12.6</v>
      </c>
      <c r="M34" s="31">
        <v>12.2</v>
      </c>
      <c r="N34" s="307">
        <v>12.6</v>
      </c>
      <c r="O34" s="22">
        <v>12.7</v>
      </c>
      <c r="P34" s="22">
        <v>12.8</v>
      </c>
      <c r="Q34" s="31">
        <v>12.4</v>
      </c>
      <c r="R34" s="307">
        <v>11.7</v>
      </c>
      <c r="S34" s="107">
        <v>31.4</v>
      </c>
      <c r="T34" s="107">
        <v>10.9</v>
      </c>
      <c r="U34" s="107">
        <v>10.8</v>
      </c>
      <c r="V34" s="307">
        <v>10.7</v>
      </c>
      <c r="W34" s="107">
        <v>9.6</v>
      </c>
      <c r="X34" s="107">
        <v>8</v>
      </c>
      <c r="Y34" s="107">
        <v>8.1999999999999993</v>
      </c>
      <c r="Z34" s="307">
        <v>10.5</v>
      </c>
      <c r="AA34" s="107">
        <v>11.6</v>
      </c>
      <c r="AB34" s="107">
        <v>11.7</v>
      </c>
      <c r="AC34" s="107">
        <v>11.6</v>
      </c>
      <c r="AD34" s="307">
        <v>11.7</v>
      </c>
      <c r="AE34" s="107">
        <v>11.3</v>
      </c>
      <c r="AF34" s="107">
        <v>8.9</v>
      </c>
      <c r="AG34" s="107">
        <v>8</v>
      </c>
      <c r="AH34" s="307">
        <v>9.6</v>
      </c>
      <c r="AI34" s="107">
        <v>10.199999999999999</v>
      </c>
      <c r="AJ34" s="107">
        <v>10.1</v>
      </c>
      <c r="AK34" s="107">
        <v>11.1</v>
      </c>
      <c r="AL34" s="307">
        <v>10.4</v>
      </c>
      <c r="AM34" s="107">
        <v>11.2</v>
      </c>
      <c r="AN34" s="107">
        <v>8.6999999999999993</v>
      </c>
      <c r="AO34" s="107"/>
      <c r="AP34" s="307"/>
    </row>
    <row r="35" spans="1:42" s="321" customFormat="1" ht="24.95" customHeight="1" thickBot="1">
      <c r="A35" s="551" t="s">
        <v>178</v>
      </c>
      <c r="B35" s="551" t="s">
        <v>179</v>
      </c>
      <c r="C35" s="552">
        <f t="shared" ref="C35:M35" si="2">SUM(C23:C34)</f>
        <v>1273.798</v>
      </c>
      <c r="D35" s="553">
        <f t="shared" si="2"/>
        <v>1172.6559999999999</v>
      </c>
      <c r="E35" s="553">
        <f t="shared" si="2"/>
        <v>1058.173</v>
      </c>
      <c r="F35" s="554">
        <f t="shared" si="2"/>
        <v>1085.1969999999999</v>
      </c>
      <c r="G35" s="553">
        <f t="shared" si="2"/>
        <v>1204.625</v>
      </c>
      <c r="H35" s="553">
        <f t="shared" si="2"/>
        <v>1164.163</v>
      </c>
      <c r="I35" s="553">
        <f t="shared" si="2"/>
        <v>1161.885</v>
      </c>
      <c r="J35" s="554">
        <f t="shared" si="2"/>
        <v>1220.3850000000002</v>
      </c>
      <c r="K35" s="552">
        <f t="shared" si="2"/>
        <v>1396.8419999999999</v>
      </c>
      <c r="L35" s="553">
        <f t="shared" si="2"/>
        <v>4435.3</v>
      </c>
      <c r="M35" s="553">
        <f t="shared" si="2"/>
        <v>3899.7999999999997</v>
      </c>
      <c r="N35" s="554">
        <f t="shared" ref="N35:S35" si="3">SUM(N23:N34)-N31</f>
        <v>3982.6</v>
      </c>
      <c r="O35" s="552">
        <f t="shared" si="3"/>
        <v>3956.9</v>
      </c>
      <c r="P35" s="553">
        <f t="shared" si="3"/>
        <v>4274.2</v>
      </c>
      <c r="Q35" s="553">
        <f t="shared" si="3"/>
        <v>3747.2000000000003</v>
      </c>
      <c r="R35" s="554">
        <f t="shared" si="3"/>
        <v>4228.8999999999987</v>
      </c>
      <c r="S35" s="552">
        <f t="shared" si="3"/>
        <v>3866.0000000000005</v>
      </c>
      <c r="T35" s="553">
        <f t="shared" ref="T35:U35" si="4">SUM(T23:T34)-T31</f>
        <v>3203.3</v>
      </c>
      <c r="U35" s="553">
        <f t="shared" si="4"/>
        <v>3445.5000000000005</v>
      </c>
      <c r="V35" s="554">
        <f t="shared" ref="V35" si="5">SUM(V23:V34)-V31</f>
        <v>3770.3999999999992</v>
      </c>
      <c r="W35" s="552">
        <f t="shared" ref="W35:X35" si="6">SUM(W23:W34)-W31</f>
        <v>3911.1000000000004</v>
      </c>
      <c r="X35" s="553">
        <f t="shared" si="6"/>
        <v>3862.9</v>
      </c>
      <c r="Y35" s="553">
        <f t="shared" ref="Y35:AB35" si="7">SUM(Y23:Y34)-Y31</f>
        <v>3676.6</v>
      </c>
      <c r="Z35" s="554">
        <f t="shared" si="7"/>
        <v>3931.5</v>
      </c>
      <c r="AA35" s="552">
        <f t="shared" si="7"/>
        <v>4363.8</v>
      </c>
      <c r="AB35" s="553">
        <f t="shared" si="7"/>
        <v>4827.2</v>
      </c>
      <c r="AC35" s="553">
        <f>SUM(AC23:AC34)-AC31</f>
        <v>5300.0000000000009</v>
      </c>
      <c r="AD35" s="554">
        <f>SUM(AD23:AD34)-AD31</f>
        <v>5422.7</v>
      </c>
      <c r="AE35" s="552">
        <f>SUM(AE23:AE34)-AE31</f>
        <v>4952.3000000000011</v>
      </c>
      <c r="AF35" s="553">
        <f t="shared" ref="AF35:AH35" si="8">SUM(AF23:AF34)-AF31</f>
        <v>4886.0999999999985</v>
      </c>
      <c r="AG35" s="553">
        <f t="shared" si="8"/>
        <v>5013.3999999999996</v>
      </c>
      <c r="AH35" s="554">
        <f t="shared" si="8"/>
        <v>4984.8999999999996</v>
      </c>
      <c r="AI35" s="552">
        <f>SUM(AI23:AI34)-AI31</f>
        <v>5339.8</v>
      </c>
      <c r="AJ35" s="553">
        <f t="shared" ref="AJ35:AK35" si="9">SUM(AJ23:AJ34)-AJ31</f>
        <v>5513.2</v>
      </c>
      <c r="AK35" s="553">
        <f t="shared" si="9"/>
        <v>5282.3000000000011</v>
      </c>
      <c r="AL35" s="554">
        <f>SUM(AL23:AL34)-AL31</f>
        <v>5277.2000000000007</v>
      </c>
      <c r="AM35" s="552">
        <f>SUM(AM23:AM34)-AM31</f>
        <v>5114.2999999999993</v>
      </c>
      <c r="AN35" s="553">
        <f t="shared" ref="AN35:AO35" si="10">SUM(AN23:AN34)-AN31</f>
        <v>4780.8</v>
      </c>
      <c r="AO35" s="553">
        <f t="shared" si="10"/>
        <v>0</v>
      </c>
      <c r="AP35" s="554">
        <f>SUM(AP23:AP34)-AP31</f>
        <v>0</v>
      </c>
    </row>
    <row r="36" spans="1:42" s="10" customFormat="1" ht="20.100000000000001" customHeight="1">
      <c r="A36" s="320" t="s">
        <v>180</v>
      </c>
      <c r="B36" s="303" t="s">
        <v>501</v>
      </c>
      <c r="C36" s="23"/>
      <c r="D36" s="23"/>
      <c r="E36" s="23"/>
      <c r="F36" s="307"/>
      <c r="G36" s="23"/>
      <c r="H36" s="23"/>
      <c r="I36" s="23"/>
      <c r="J36" s="307"/>
      <c r="K36" s="37"/>
      <c r="L36" s="31"/>
      <c r="M36" s="31"/>
      <c r="N36" s="307"/>
      <c r="O36" s="22"/>
      <c r="P36" s="22"/>
      <c r="Q36" s="24"/>
      <c r="R36" s="307"/>
      <c r="S36" s="107"/>
      <c r="T36" s="107"/>
      <c r="U36" s="107"/>
      <c r="V36" s="307"/>
      <c r="W36" s="107"/>
      <c r="X36" s="107"/>
      <c r="Y36" s="107"/>
      <c r="Z36" s="307"/>
      <c r="AA36" s="107"/>
      <c r="AB36" s="107"/>
      <c r="AC36" s="107"/>
      <c r="AD36" s="307"/>
      <c r="AE36" s="107"/>
      <c r="AF36" s="107"/>
      <c r="AG36" s="107"/>
      <c r="AH36" s="307"/>
      <c r="AI36" s="107"/>
      <c r="AJ36" s="107"/>
      <c r="AK36" s="107"/>
      <c r="AL36" s="307"/>
      <c r="AM36" s="107">
        <v>3574.4</v>
      </c>
      <c r="AN36" s="304">
        <v>4581.1000000000004</v>
      </c>
      <c r="AO36" s="107"/>
      <c r="AP36" s="307"/>
    </row>
    <row r="37" spans="1:42" s="10" customFormat="1" ht="20.100000000000001" customHeight="1">
      <c r="A37" s="545" t="s">
        <v>181</v>
      </c>
      <c r="B37" s="546" t="s">
        <v>502</v>
      </c>
      <c r="C37" s="23"/>
      <c r="D37" s="23"/>
      <c r="E37" s="23"/>
      <c r="F37" s="307"/>
      <c r="G37" s="23"/>
      <c r="H37" s="23"/>
      <c r="I37" s="23"/>
      <c r="J37" s="307"/>
      <c r="K37" s="37"/>
      <c r="L37" s="31"/>
      <c r="M37" s="31"/>
      <c r="N37" s="307"/>
      <c r="O37" s="22"/>
      <c r="P37" s="22"/>
      <c r="Q37" s="24"/>
      <c r="R37" s="307"/>
      <c r="S37" s="107"/>
      <c r="T37" s="107"/>
      <c r="U37" s="107"/>
      <c r="V37" s="307"/>
      <c r="W37" s="107"/>
      <c r="X37" s="107"/>
      <c r="Y37" s="107"/>
      <c r="Z37" s="307"/>
      <c r="AA37" s="107"/>
      <c r="AB37" s="107"/>
      <c r="AC37" s="107"/>
      <c r="AD37" s="307"/>
      <c r="AE37" s="107"/>
      <c r="AF37" s="107"/>
      <c r="AG37" s="107"/>
      <c r="AH37" s="307"/>
      <c r="AI37" s="107"/>
      <c r="AJ37" s="107"/>
      <c r="AK37" s="107"/>
      <c r="AL37" s="307"/>
      <c r="AM37" s="108">
        <v>108.5</v>
      </c>
      <c r="AN37" s="108">
        <v>95.5</v>
      </c>
      <c r="AO37" s="107"/>
      <c r="AP37" s="307"/>
    </row>
    <row r="38" spans="1:42" s="547" customFormat="1" ht="24.95" customHeight="1">
      <c r="A38" s="541" t="s">
        <v>182</v>
      </c>
      <c r="B38" s="541" t="s">
        <v>183</v>
      </c>
      <c r="C38" s="542">
        <f t="shared" ref="C38:Q38" si="11">C22+C35</f>
        <v>5502.7539999999999</v>
      </c>
      <c r="D38" s="543">
        <f t="shared" si="11"/>
        <v>5597.8010000000004</v>
      </c>
      <c r="E38" s="543">
        <f t="shared" si="11"/>
        <v>5514.8739999999998</v>
      </c>
      <c r="F38" s="544">
        <f t="shared" si="11"/>
        <v>5561.3450000000003</v>
      </c>
      <c r="G38" s="543">
        <f t="shared" si="11"/>
        <v>5629.4740000000011</v>
      </c>
      <c r="H38" s="543">
        <f t="shared" si="11"/>
        <v>5592.7070000000003</v>
      </c>
      <c r="I38" s="543">
        <f t="shared" si="11"/>
        <v>5597.9810000000007</v>
      </c>
      <c r="J38" s="544">
        <f t="shared" si="11"/>
        <v>5676.2300000000005</v>
      </c>
      <c r="K38" s="542">
        <f t="shared" si="11"/>
        <v>5851.1940000000004</v>
      </c>
      <c r="L38" s="543">
        <f t="shared" si="11"/>
        <v>27827.1</v>
      </c>
      <c r="M38" s="543">
        <f t="shared" si="11"/>
        <v>27481.199999999997</v>
      </c>
      <c r="N38" s="544">
        <f t="shared" si="11"/>
        <v>27338.699999999997</v>
      </c>
      <c r="O38" s="542">
        <f t="shared" si="11"/>
        <v>27088.9</v>
      </c>
      <c r="P38" s="543">
        <f t="shared" si="11"/>
        <v>27141.8</v>
      </c>
      <c r="Q38" s="543">
        <f t="shared" si="11"/>
        <v>26143.5</v>
      </c>
      <c r="R38" s="544">
        <f t="shared" ref="R38:S38" si="12">R22+R35</f>
        <v>26490.099999999995</v>
      </c>
      <c r="S38" s="542">
        <f t="shared" si="12"/>
        <v>28355.499999999996</v>
      </c>
      <c r="T38" s="543">
        <f t="shared" ref="T38:W38" si="13">T22+T35</f>
        <v>27581.1</v>
      </c>
      <c r="U38" s="543">
        <f t="shared" si="13"/>
        <v>27493.100000000002</v>
      </c>
      <c r="V38" s="544">
        <f t="shared" si="13"/>
        <v>27729.299999999996</v>
      </c>
      <c r="W38" s="542">
        <f t="shared" si="13"/>
        <v>27553.199999999997</v>
      </c>
      <c r="X38" s="543">
        <f t="shared" ref="X38:Y38" si="14">X22+X35</f>
        <v>27317.5</v>
      </c>
      <c r="Y38" s="543">
        <f t="shared" si="14"/>
        <v>26892.599999999995</v>
      </c>
      <c r="Z38" s="544">
        <f t="shared" ref="Z38:AH38" si="15">Z22+Z35</f>
        <v>27756</v>
      </c>
      <c r="AA38" s="542">
        <f t="shared" si="15"/>
        <v>27894.399999999998</v>
      </c>
      <c r="AB38" s="543">
        <f t="shared" si="15"/>
        <v>29751.599999999999</v>
      </c>
      <c r="AC38" s="543">
        <f t="shared" si="15"/>
        <v>30395.3</v>
      </c>
      <c r="AD38" s="544">
        <f t="shared" si="15"/>
        <v>30696.800000000003</v>
      </c>
      <c r="AE38" s="542">
        <f t="shared" si="15"/>
        <v>31463.800000000003</v>
      </c>
      <c r="AF38" s="543">
        <f t="shared" si="15"/>
        <v>31359.200000000001</v>
      </c>
      <c r="AG38" s="543">
        <f t="shared" si="15"/>
        <v>31277.699999999997</v>
      </c>
      <c r="AH38" s="544">
        <f t="shared" si="15"/>
        <v>32589.599999999999</v>
      </c>
      <c r="AI38" s="542">
        <f t="shared" ref="AI38:AL38" si="16">AI22+AI35</f>
        <v>32658.700000000004</v>
      </c>
      <c r="AJ38" s="543">
        <f t="shared" si="16"/>
        <v>32622.799999999996</v>
      </c>
      <c r="AK38" s="543">
        <f t="shared" si="16"/>
        <v>32814.1</v>
      </c>
      <c r="AL38" s="544">
        <f t="shared" si="16"/>
        <v>33115</v>
      </c>
      <c r="AM38" s="542">
        <f>AM22+AM35+AM36</f>
        <v>32954.499999999993</v>
      </c>
      <c r="AN38" s="543">
        <f>AN22+AN35+AN36</f>
        <v>32922.299999999996</v>
      </c>
      <c r="AO38" s="543">
        <f t="shared" ref="AO38:AP38" si="17">AO22+AO35</f>
        <v>0</v>
      </c>
      <c r="AP38" s="544">
        <f t="shared" si="17"/>
        <v>0</v>
      </c>
    </row>
    <row r="39" spans="1:42" s="550" customFormat="1" ht="38.25" customHeight="1">
      <c r="A39" s="548" t="s">
        <v>184</v>
      </c>
      <c r="B39" s="549" t="s">
        <v>185</v>
      </c>
      <c r="C39" s="611"/>
      <c r="D39" s="611"/>
      <c r="E39" s="612"/>
      <c r="F39" s="613"/>
      <c r="G39" s="611"/>
      <c r="H39" s="611"/>
      <c r="I39" s="612"/>
      <c r="J39" s="613"/>
      <c r="K39" s="611"/>
      <c r="L39" s="611"/>
      <c r="M39" s="612"/>
      <c r="N39" s="613"/>
      <c r="O39" s="611"/>
      <c r="P39" s="611"/>
      <c r="Q39" s="612"/>
      <c r="R39" s="613"/>
      <c r="S39" s="611"/>
      <c r="T39" s="611"/>
      <c r="U39" s="612"/>
      <c r="V39" s="613"/>
      <c r="W39" s="611"/>
      <c r="X39" s="611"/>
      <c r="Y39" s="612"/>
      <c r="Z39" s="613"/>
      <c r="AA39" s="611"/>
      <c r="AB39" s="611"/>
      <c r="AC39" s="612"/>
      <c r="AD39" s="613"/>
      <c r="AE39" s="611"/>
      <c r="AF39" s="611"/>
      <c r="AG39" s="612"/>
      <c r="AH39" s="613"/>
      <c r="AI39" s="611"/>
      <c r="AJ39" s="611"/>
      <c r="AK39" s="612"/>
      <c r="AL39" s="613"/>
      <c r="AM39" s="611"/>
      <c r="AN39" s="611"/>
      <c r="AO39" s="612"/>
      <c r="AP39" s="613"/>
    </row>
    <row r="40" spans="1:42" s="10" customFormat="1" ht="20.100000000000001" customHeight="1">
      <c r="A40" s="33" t="s">
        <v>186</v>
      </c>
      <c r="B40" s="154" t="s">
        <v>187</v>
      </c>
      <c r="C40" s="48">
        <f>13.934</f>
        <v>13.933999999999999</v>
      </c>
      <c r="D40" s="48">
        <f t="shared" ref="D40:K40" si="18">(13934)*0.001</f>
        <v>13.934000000000001</v>
      </c>
      <c r="E40" s="48">
        <f t="shared" si="18"/>
        <v>13.934000000000001</v>
      </c>
      <c r="F40" s="331">
        <f t="shared" si="18"/>
        <v>13.934000000000001</v>
      </c>
      <c r="G40" s="332">
        <f t="shared" si="18"/>
        <v>13.934000000000001</v>
      </c>
      <c r="H40" s="332">
        <f t="shared" si="18"/>
        <v>13.934000000000001</v>
      </c>
      <c r="I40" s="332">
        <f t="shared" si="18"/>
        <v>13.934000000000001</v>
      </c>
      <c r="J40" s="332">
        <f t="shared" si="18"/>
        <v>13.934000000000001</v>
      </c>
      <c r="K40" s="344">
        <f t="shared" si="18"/>
        <v>13.934000000000001</v>
      </c>
      <c r="L40" s="330">
        <v>25.6</v>
      </c>
      <c r="M40" s="330">
        <v>25.6</v>
      </c>
      <c r="N40" s="337">
        <v>25.6</v>
      </c>
      <c r="O40" s="340">
        <v>25.6</v>
      </c>
      <c r="P40" s="340">
        <v>25.6</v>
      </c>
      <c r="Q40" s="340">
        <v>25.6</v>
      </c>
      <c r="R40" s="313">
        <v>25.6</v>
      </c>
      <c r="S40" s="312">
        <v>25.6</v>
      </c>
      <c r="T40" s="312">
        <v>25.6</v>
      </c>
      <c r="U40" s="312">
        <v>25.6</v>
      </c>
      <c r="V40" s="313">
        <v>25.6</v>
      </c>
      <c r="W40" s="312">
        <v>25.6</v>
      </c>
      <c r="X40" s="312">
        <v>25.6</v>
      </c>
      <c r="Y40" s="312">
        <v>25.6</v>
      </c>
      <c r="Z40" s="313">
        <v>25.6</v>
      </c>
      <c r="AA40" s="312">
        <v>25.6</v>
      </c>
      <c r="AB40" s="312">
        <v>25.6</v>
      </c>
      <c r="AC40" s="312">
        <v>25.6</v>
      </c>
      <c r="AD40" s="313">
        <v>25.6</v>
      </c>
      <c r="AE40" s="312">
        <v>25.6</v>
      </c>
      <c r="AF40" s="312">
        <v>25.6</v>
      </c>
      <c r="AG40" s="312">
        <v>25.6</v>
      </c>
      <c r="AH40" s="313">
        <v>25.6</v>
      </c>
      <c r="AI40" s="312">
        <v>25.6</v>
      </c>
      <c r="AJ40" s="312">
        <v>25.6</v>
      </c>
      <c r="AK40" s="312">
        <v>25.6</v>
      </c>
      <c r="AL40" s="313">
        <v>25.6</v>
      </c>
      <c r="AM40" s="312">
        <v>25.6</v>
      </c>
      <c r="AN40" s="312">
        <v>25.6</v>
      </c>
      <c r="AO40" s="312"/>
      <c r="AP40" s="313"/>
    </row>
    <row r="41" spans="1:42" s="10" customFormat="1" ht="20.100000000000001" customHeight="1">
      <c r="A41" s="33" t="s">
        <v>188</v>
      </c>
      <c r="B41" s="154" t="s">
        <v>189</v>
      </c>
      <c r="C41" s="48">
        <f>432.265</f>
        <v>432.26499999999999</v>
      </c>
      <c r="D41" s="29">
        <v>0</v>
      </c>
      <c r="E41" s="29">
        <v>0</v>
      </c>
      <c r="F41" s="323">
        <v>0</v>
      </c>
      <c r="G41" s="324">
        <v>0</v>
      </c>
      <c r="H41" s="324">
        <v>0</v>
      </c>
      <c r="I41" s="324">
        <v>0</v>
      </c>
      <c r="J41" s="324">
        <v>0</v>
      </c>
      <c r="K41" s="325">
        <v>0</v>
      </c>
      <c r="L41" s="324">
        <v>0</v>
      </c>
      <c r="M41" s="324">
        <v>0</v>
      </c>
      <c r="N41" s="323">
        <v>0</v>
      </c>
      <c r="O41" s="324">
        <v>0</v>
      </c>
      <c r="P41" s="324">
        <v>0</v>
      </c>
      <c r="Q41" s="324">
        <v>0</v>
      </c>
      <c r="R41" s="313">
        <v>0</v>
      </c>
      <c r="S41" s="314">
        <v>0</v>
      </c>
      <c r="T41" s="314">
        <v>0</v>
      </c>
      <c r="U41" s="314">
        <v>0</v>
      </c>
      <c r="V41" s="313">
        <v>0</v>
      </c>
      <c r="W41" s="314">
        <v>0</v>
      </c>
      <c r="X41" s="314">
        <v>0</v>
      </c>
      <c r="Y41" s="314">
        <v>0</v>
      </c>
      <c r="Z41" s="313">
        <v>0</v>
      </c>
      <c r="AA41" s="314">
        <v>0</v>
      </c>
      <c r="AB41" s="314">
        <v>0</v>
      </c>
      <c r="AC41" s="314">
        <v>0</v>
      </c>
      <c r="AD41" s="313">
        <v>0</v>
      </c>
      <c r="AE41" s="314">
        <v>0</v>
      </c>
      <c r="AF41" s="314">
        <v>0</v>
      </c>
      <c r="AG41" s="314">
        <v>0</v>
      </c>
      <c r="AH41" s="313">
        <v>0</v>
      </c>
      <c r="AI41" s="314">
        <v>0</v>
      </c>
      <c r="AJ41" s="314">
        <v>0</v>
      </c>
      <c r="AK41" s="314">
        <v>0</v>
      </c>
      <c r="AL41" s="313">
        <v>0</v>
      </c>
      <c r="AM41" s="314">
        <v>0</v>
      </c>
      <c r="AN41" s="314">
        <v>0</v>
      </c>
      <c r="AO41" s="314"/>
      <c r="AP41" s="313"/>
    </row>
    <row r="42" spans="1:42" s="10" customFormat="1" ht="20.100000000000001" customHeight="1">
      <c r="A42" s="33" t="s">
        <v>190</v>
      </c>
      <c r="B42" s="154" t="s">
        <v>191</v>
      </c>
      <c r="C42" s="48">
        <f>1305.277</f>
        <v>1305.277</v>
      </c>
      <c r="D42" s="29">
        <v>0</v>
      </c>
      <c r="E42" s="29">
        <v>0</v>
      </c>
      <c r="F42" s="323">
        <v>0</v>
      </c>
      <c r="G42" s="324">
        <v>0</v>
      </c>
      <c r="H42" s="324">
        <v>0</v>
      </c>
      <c r="I42" s="324">
        <v>0</v>
      </c>
      <c r="J42" s="324">
        <v>0</v>
      </c>
      <c r="K42" s="325">
        <v>0</v>
      </c>
      <c r="L42" s="324">
        <v>0</v>
      </c>
      <c r="M42" s="324">
        <v>0</v>
      </c>
      <c r="N42" s="323">
        <v>0</v>
      </c>
      <c r="O42" s="324">
        <v>0</v>
      </c>
      <c r="P42" s="324">
        <v>0</v>
      </c>
      <c r="Q42" s="324">
        <v>0</v>
      </c>
      <c r="R42" s="313">
        <v>0</v>
      </c>
      <c r="S42" s="314">
        <v>0</v>
      </c>
      <c r="T42" s="314">
        <v>0</v>
      </c>
      <c r="U42" s="314">
        <v>0</v>
      </c>
      <c r="V42" s="313">
        <v>0</v>
      </c>
      <c r="W42" s="314">
        <v>0</v>
      </c>
      <c r="X42" s="314">
        <v>0</v>
      </c>
      <c r="Y42" s="314">
        <v>0</v>
      </c>
      <c r="Z42" s="313">
        <v>0</v>
      </c>
      <c r="AA42" s="314">
        <v>0</v>
      </c>
      <c r="AB42" s="314">
        <v>0</v>
      </c>
      <c r="AC42" s="314">
        <v>0</v>
      </c>
      <c r="AD42" s="313">
        <v>0</v>
      </c>
      <c r="AE42" s="314">
        <v>0</v>
      </c>
      <c r="AF42" s="314">
        <v>0</v>
      </c>
      <c r="AG42" s="314">
        <v>0</v>
      </c>
      <c r="AH42" s="313">
        <v>0</v>
      </c>
      <c r="AI42" s="314">
        <v>0</v>
      </c>
      <c r="AJ42" s="314">
        <v>0</v>
      </c>
      <c r="AK42" s="314">
        <v>0</v>
      </c>
      <c r="AL42" s="313">
        <v>0</v>
      </c>
      <c r="AM42" s="314">
        <v>0</v>
      </c>
      <c r="AN42" s="314">
        <v>0</v>
      </c>
      <c r="AO42" s="314"/>
      <c r="AP42" s="313"/>
    </row>
    <row r="43" spans="1:42" s="10" customFormat="1" ht="20.100000000000001" customHeight="1">
      <c r="A43" s="33" t="s">
        <v>192</v>
      </c>
      <c r="B43" s="154" t="s">
        <v>193</v>
      </c>
      <c r="C43" s="29">
        <v>0</v>
      </c>
      <c r="D43" s="22">
        <f t="shared" ref="D43:K43" si="19">(1295103)*0.001</f>
        <v>1295.1030000000001</v>
      </c>
      <c r="E43" s="22">
        <f t="shared" si="19"/>
        <v>1295.1030000000001</v>
      </c>
      <c r="F43" s="326">
        <f t="shared" si="19"/>
        <v>1295.1030000000001</v>
      </c>
      <c r="G43" s="327">
        <f t="shared" si="19"/>
        <v>1295.1030000000001</v>
      </c>
      <c r="H43" s="327">
        <f t="shared" si="19"/>
        <v>1295.1030000000001</v>
      </c>
      <c r="I43" s="327">
        <f t="shared" si="19"/>
        <v>1295.1030000000001</v>
      </c>
      <c r="J43" s="326">
        <f t="shared" si="19"/>
        <v>1295.1030000000001</v>
      </c>
      <c r="K43" s="327">
        <f t="shared" si="19"/>
        <v>1295.1030000000001</v>
      </c>
      <c r="L43" s="328">
        <v>7237.5</v>
      </c>
      <c r="M43" s="328">
        <v>7237.5</v>
      </c>
      <c r="N43" s="329">
        <v>7174</v>
      </c>
      <c r="O43" s="330">
        <v>7237.4</v>
      </c>
      <c r="P43" s="330">
        <v>7174</v>
      </c>
      <c r="Q43" s="330">
        <v>7174</v>
      </c>
      <c r="R43" s="313">
        <v>7174</v>
      </c>
      <c r="S43" s="312">
        <v>7174</v>
      </c>
      <c r="T43" s="312">
        <v>7174</v>
      </c>
      <c r="U43" s="312">
        <v>7174</v>
      </c>
      <c r="V43" s="313">
        <v>7174</v>
      </c>
      <c r="W43" s="312">
        <v>7174</v>
      </c>
      <c r="X43" s="312">
        <v>7174</v>
      </c>
      <c r="Y43" s="312">
        <v>7174</v>
      </c>
      <c r="Z43" s="313">
        <v>7174</v>
      </c>
      <c r="AA43" s="312">
        <v>7174</v>
      </c>
      <c r="AB43" s="312">
        <v>7174</v>
      </c>
      <c r="AC43" s="312">
        <v>7174</v>
      </c>
      <c r="AD43" s="313">
        <v>7174</v>
      </c>
      <c r="AE43" s="312">
        <v>7174</v>
      </c>
      <c r="AF43" s="312">
        <v>7174</v>
      </c>
      <c r="AG43" s="312">
        <v>7174</v>
      </c>
      <c r="AH43" s="313">
        <v>7174</v>
      </c>
      <c r="AI43" s="312">
        <v>7174</v>
      </c>
      <c r="AJ43" s="312">
        <v>7174</v>
      </c>
      <c r="AK43" s="312">
        <v>7174</v>
      </c>
      <c r="AL43" s="313">
        <v>7174</v>
      </c>
      <c r="AM43" s="312">
        <v>7174</v>
      </c>
      <c r="AN43" s="312">
        <v>7174</v>
      </c>
      <c r="AO43" s="312"/>
      <c r="AP43" s="313"/>
    </row>
    <row r="44" spans="1:42" s="10" customFormat="1" ht="20.100000000000001" customHeight="1">
      <c r="A44" s="33" t="s">
        <v>194</v>
      </c>
      <c r="B44" s="154" t="s">
        <v>195</v>
      </c>
      <c r="C44" s="50">
        <f>-3.17</f>
        <v>-3.17</v>
      </c>
      <c r="D44" s="29">
        <v>0</v>
      </c>
      <c r="E44" s="29">
        <v>0</v>
      </c>
      <c r="F44" s="323">
        <v>0</v>
      </c>
      <c r="G44" s="324">
        <v>0</v>
      </c>
      <c r="H44" s="324">
        <v>0</v>
      </c>
      <c r="I44" s="324">
        <v>0</v>
      </c>
      <c r="J44" s="324">
        <v>0</v>
      </c>
      <c r="K44" s="325">
        <v>0</v>
      </c>
      <c r="L44" s="324">
        <v>0</v>
      </c>
      <c r="M44" s="324">
        <v>0</v>
      </c>
      <c r="N44" s="323">
        <v>0</v>
      </c>
      <c r="O44" s="324">
        <v>0</v>
      </c>
      <c r="P44" s="324">
        <v>0</v>
      </c>
      <c r="Q44" s="324">
        <v>0</v>
      </c>
      <c r="R44" s="313">
        <v>0</v>
      </c>
      <c r="S44" s="314">
        <v>0</v>
      </c>
      <c r="T44" s="314">
        <v>0</v>
      </c>
      <c r="U44" s="314">
        <v>0</v>
      </c>
      <c r="V44" s="313">
        <v>0</v>
      </c>
      <c r="W44" s="314">
        <v>0</v>
      </c>
      <c r="X44" s="314">
        <v>0</v>
      </c>
      <c r="Y44" s="314">
        <v>0</v>
      </c>
      <c r="Z44" s="313">
        <v>0</v>
      </c>
      <c r="AA44" s="314">
        <v>0</v>
      </c>
      <c r="AB44" s="314">
        <v>0</v>
      </c>
      <c r="AC44" s="314">
        <v>0</v>
      </c>
      <c r="AD44" s="313">
        <v>0</v>
      </c>
      <c r="AE44" s="314">
        <v>0</v>
      </c>
      <c r="AF44" s="314">
        <v>0</v>
      </c>
      <c r="AG44" s="314">
        <v>0</v>
      </c>
      <c r="AH44" s="313">
        <v>0</v>
      </c>
      <c r="AI44" s="314">
        <v>0</v>
      </c>
      <c r="AJ44" s="314">
        <v>0</v>
      </c>
      <c r="AK44" s="314">
        <v>0</v>
      </c>
      <c r="AL44" s="313">
        <v>0</v>
      </c>
      <c r="AM44" s="314">
        <v>0</v>
      </c>
      <c r="AN44" s="314">
        <v>0</v>
      </c>
      <c r="AO44" s="314"/>
      <c r="AP44" s="313"/>
    </row>
    <row r="45" spans="1:42" s="10" customFormat="1" ht="20.100000000000001" customHeight="1">
      <c r="A45" s="33" t="s">
        <v>196</v>
      </c>
      <c r="B45" s="154" t="s">
        <v>197</v>
      </c>
      <c r="C45" s="48">
        <f>2.396</f>
        <v>2.3959999999999999</v>
      </c>
      <c r="D45" s="29">
        <v>0</v>
      </c>
      <c r="E45" s="29">
        <v>0</v>
      </c>
      <c r="F45" s="323">
        <v>0</v>
      </c>
      <c r="G45" s="324">
        <v>0</v>
      </c>
      <c r="H45" s="324">
        <v>0</v>
      </c>
      <c r="I45" s="324">
        <v>0</v>
      </c>
      <c r="J45" s="324">
        <v>0</v>
      </c>
      <c r="K45" s="325">
        <v>0</v>
      </c>
      <c r="L45" s="324">
        <v>0</v>
      </c>
      <c r="M45" s="324">
        <v>0</v>
      </c>
      <c r="N45" s="323">
        <v>0</v>
      </c>
      <c r="O45" s="324">
        <v>0</v>
      </c>
      <c r="P45" s="324">
        <v>0</v>
      </c>
      <c r="Q45" s="324">
        <v>0</v>
      </c>
      <c r="R45" s="313">
        <v>0</v>
      </c>
      <c r="S45" s="314">
        <v>0</v>
      </c>
      <c r="T45" s="314">
        <v>0</v>
      </c>
      <c r="U45" s="314">
        <v>0</v>
      </c>
      <c r="V45" s="313">
        <v>0</v>
      </c>
      <c r="W45" s="314">
        <v>0</v>
      </c>
      <c r="X45" s="314">
        <v>0</v>
      </c>
      <c r="Y45" s="314">
        <v>0</v>
      </c>
      <c r="Z45" s="313">
        <v>0</v>
      </c>
      <c r="AA45" s="314">
        <v>0</v>
      </c>
      <c r="AB45" s="314">
        <v>0</v>
      </c>
      <c r="AC45" s="314">
        <v>0</v>
      </c>
      <c r="AD45" s="313">
        <v>0</v>
      </c>
      <c r="AE45" s="314">
        <v>0</v>
      </c>
      <c r="AF45" s="314">
        <v>0</v>
      </c>
      <c r="AG45" s="314">
        <v>0</v>
      </c>
      <c r="AH45" s="313">
        <v>0</v>
      </c>
      <c r="AI45" s="314">
        <v>0</v>
      </c>
      <c r="AJ45" s="314">
        <v>0</v>
      </c>
      <c r="AK45" s="314">
        <v>0</v>
      </c>
      <c r="AL45" s="313">
        <v>0</v>
      </c>
      <c r="AM45" s="314">
        <v>0</v>
      </c>
      <c r="AN45" s="314">
        <v>0</v>
      </c>
      <c r="AO45" s="314"/>
      <c r="AP45" s="313"/>
    </row>
    <row r="46" spans="1:42" s="10" customFormat="1" ht="20.100000000000001" customHeight="1">
      <c r="A46" s="33" t="s">
        <v>198</v>
      </c>
      <c r="B46" s="157" t="s">
        <v>199</v>
      </c>
      <c r="C46" s="48"/>
      <c r="D46" s="29"/>
      <c r="E46" s="29"/>
      <c r="F46" s="323"/>
      <c r="G46" s="324"/>
      <c r="H46" s="324"/>
      <c r="I46" s="324"/>
      <c r="J46" s="324"/>
      <c r="K46" s="325"/>
      <c r="L46" s="324"/>
      <c r="M46" s="324"/>
      <c r="N46" s="323"/>
      <c r="O46" s="324"/>
      <c r="P46" s="324"/>
      <c r="Q46" s="324"/>
      <c r="R46" s="313"/>
      <c r="S46" s="314"/>
      <c r="T46" s="314"/>
      <c r="U46" s="314"/>
      <c r="V46" s="313"/>
      <c r="W46" s="314"/>
      <c r="X46" s="314"/>
      <c r="Y46" s="314"/>
      <c r="Z46" s="313"/>
      <c r="AA46" s="314"/>
      <c r="AB46" s="314"/>
      <c r="AC46" s="314"/>
      <c r="AD46" s="313"/>
      <c r="AE46" s="314"/>
      <c r="AF46" s="314"/>
      <c r="AG46" s="314"/>
      <c r="AH46" s="313"/>
      <c r="AI46" s="314"/>
      <c r="AJ46" s="314">
        <v>17.100000000000001</v>
      </c>
      <c r="AK46" s="314">
        <v>17.100000000000001</v>
      </c>
      <c r="AL46" s="313">
        <v>21.2</v>
      </c>
      <c r="AM46" s="314">
        <v>21.2</v>
      </c>
      <c r="AN46" s="314">
        <v>21.3</v>
      </c>
      <c r="AO46" s="314"/>
      <c r="AP46" s="313"/>
    </row>
    <row r="47" spans="1:42" s="10" customFormat="1" ht="20.100000000000001" customHeight="1">
      <c r="A47" s="33" t="s">
        <v>200</v>
      </c>
      <c r="B47" s="154" t="s">
        <v>191</v>
      </c>
      <c r="C47" s="29">
        <v>0</v>
      </c>
      <c r="D47" s="48">
        <f>(1225)*0.001</f>
        <v>1.2250000000000001</v>
      </c>
      <c r="E47" s="50">
        <f>(-8191)*0.001</f>
        <v>-8.1910000000000007</v>
      </c>
      <c r="F47" s="354">
        <f>(-16327)*0.001</f>
        <v>-16.327000000000002</v>
      </c>
      <c r="G47" s="50">
        <f>(-17667)*0.001</f>
        <v>-17.667000000000002</v>
      </c>
      <c r="H47" s="50">
        <f>(-13285)*0.001</f>
        <v>-13.285</v>
      </c>
      <c r="I47" s="50">
        <f>(-11455)*0.001</f>
        <v>-11.455</v>
      </c>
      <c r="J47" s="354">
        <f>(-8964)*0.001</f>
        <v>-8.9640000000000004</v>
      </c>
      <c r="K47" s="325">
        <v>0</v>
      </c>
      <c r="L47" s="324">
        <v>0</v>
      </c>
      <c r="M47" s="333">
        <v>-9.1999999999999993</v>
      </c>
      <c r="N47" s="334">
        <v>-12.2</v>
      </c>
      <c r="O47" s="333">
        <v>-12.7</v>
      </c>
      <c r="P47" s="333">
        <v>-7.9</v>
      </c>
      <c r="Q47" s="333">
        <v>-8.1999999999999993</v>
      </c>
      <c r="R47" s="313">
        <v>-3.7</v>
      </c>
      <c r="S47" s="315">
        <v>-1.7</v>
      </c>
      <c r="T47" s="315">
        <v>0.1</v>
      </c>
      <c r="U47" s="315">
        <v>2.2000000000000002</v>
      </c>
      <c r="V47" s="313">
        <v>4.5</v>
      </c>
      <c r="W47" s="315">
        <v>3.8</v>
      </c>
      <c r="X47" s="315">
        <v>3.6</v>
      </c>
      <c r="Y47" s="315">
        <v>3.5</v>
      </c>
      <c r="Z47" s="313">
        <v>3.2</v>
      </c>
      <c r="AA47" s="315">
        <v>2.8</v>
      </c>
      <c r="AB47" s="315">
        <v>-204.3</v>
      </c>
      <c r="AC47" s="312">
        <v>-204.1</v>
      </c>
      <c r="AD47" s="313">
        <v>-162.5</v>
      </c>
      <c r="AE47" s="315">
        <v>-162.4</v>
      </c>
      <c r="AF47" s="315">
        <v>3.3</v>
      </c>
      <c r="AG47" s="312">
        <v>3.4</v>
      </c>
      <c r="AH47" s="313">
        <v>1.5</v>
      </c>
      <c r="AI47" s="315">
        <v>-4.8</v>
      </c>
      <c r="AJ47" s="315">
        <v>-7.2</v>
      </c>
      <c r="AK47" s="312">
        <v>-7.4</v>
      </c>
      <c r="AL47" s="313">
        <v>99.7</v>
      </c>
      <c r="AM47" s="315">
        <v>-4.3</v>
      </c>
      <c r="AN47" s="312">
        <v>-22.1</v>
      </c>
      <c r="AO47" s="312"/>
      <c r="AP47" s="313"/>
    </row>
    <row r="48" spans="1:42" s="10" customFormat="1" ht="20.100000000000001" customHeight="1" thickBot="1">
      <c r="A48" s="33" t="s">
        <v>201</v>
      </c>
      <c r="B48" s="154" t="s">
        <v>202</v>
      </c>
      <c r="C48" s="48">
        <f>340.065</f>
        <v>340.065</v>
      </c>
      <c r="D48" s="48">
        <f>(882007)*0.001</f>
        <v>882.00700000000006</v>
      </c>
      <c r="E48" s="51">
        <f>(1054069)*0.001</f>
        <v>1054.069</v>
      </c>
      <c r="F48" s="335">
        <f>(1175693)*0.001</f>
        <v>1175.693</v>
      </c>
      <c r="G48" s="336">
        <f>(1270798)*0.001</f>
        <v>1270.798</v>
      </c>
      <c r="H48" s="336">
        <f>(1351543)*0.001</f>
        <v>1351.5430000000001</v>
      </c>
      <c r="I48" s="336">
        <f>(1527994)*0.001</f>
        <v>1527.9940000000001</v>
      </c>
      <c r="J48" s="335">
        <f>(1701138)*0.001</f>
        <v>1701.1380000000001</v>
      </c>
      <c r="K48" s="336">
        <f>(1799310)*0.001</f>
        <v>1799.31</v>
      </c>
      <c r="L48" s="328">
        <v>1828.6</v>
      </c>
      <c r="M48" s="328">
        <v>1876.8</v>
      </c>
      <c r="N48" s="337">
        <v>1890.8</v>
      </c>
      <c r="O48" s="328">
        <v>2061.6</v>
      </c>
      <c r="P48" s="328">
        <v>2366.1</v>
      </c>
      <c r="Q48" s="328">
        <v>2868.6</v>
      </c>
      <c r="R48" s="313">
        <v>3054.2</v>
      </c>
      <c r="S48" s="315">
        <v>3229.7</v>
      </c>
      <c r="T48" s="315">
        <v>3467.4</v>
      </c>
      <c r="U48" s="315">
        <v>3745.6</v>
      </c>
      <c r="V48" s="313">
        <v>4095.5</v>
      </c>
      <c r="W48" s="315">
        <v>4374.8999999999996</v>
      </c>
      <c r="X48" s="315">
        <v>4461.3999999999996</v>
      </c>
      <c r="Y48" s="315">
        <v>4704.3</v>
      </c>
      <c r="Z48" s="313">
        <v>4871.3999999999996</v>
      </c>
      <c r="AA48" s="315">
        <v>5668.6</v>
      </c>
      <c r="AB48" s="315">
        <v>5904.4</v>
      </c>
      <c r="AC48" s="312">
        <v>6130.5</v>
      </c>
      <c r="AD48" s="313">
        <v>6189.9</v>
      </c>
      <c r="AE48" s="315">
        <v>6481.8</v>
      </c>
      <c r="AF48" s="315">
        <v>6065.1</v>
      </c>
      <c r="AG48" s="312">
        <v>6296.4</v>
      </c>
      <c r="AH48" s="313">
        <v>6610.2</v>
      </c>
      <c r="AI48" s="315">
        <v>6792.6</v>
      </c>
      <c r="AJ48" s="315">
        <v>7081</v>
      </c>
      <c r="AK48" s="312">
        <v>6787.4</v>
      </c>
      <c r="AL48" s="313">
        <v>7112.3</v>
      </c>
      <c r="AM48" s="312">
        <v>7501.9</v>
      </c>
      <c r="AN48" s="312">
        <v>7273.7</v>
      </c>
      <c r="AO48" s="312"/>
      <c r="AP48" s="313"/>
    </row>
    <row r="49" spans="1:42" s="321" customFormat="1" ht="24.95" customHeight="1" thickBot="1">
      <c r="A49" s="551" t="s">
        <v>203</v>
      </c>
      <c r="B49" s="551" t="s">
        <v>204</v>
      </c>
      <c r="C49" s="552">
        <f t="shared" ref="C49:D49" si="20">SUM(C40:C48)</f>
        <v>2090.7669999999998</v>
      </c>
      <c r="D49" s="553">
        <f t="shared" si="20"/>
        <v>2192.2690000000002</v>
      </c>
      <c r="E49" s="553">
        <f t="shared" ref="E49:I49" si="21">SUM(E40:E48)</f>
        <v>2354.915</v>
      </c>
      <c r="F49" s="554">
        <f t="shared" si="21"/>
        <v>2468.4030000000002</v>
      </c>
      <c r="G49" s="553">
        <f t="shared" si="21"/>
        <v>2562.1680000000001</v>
      </c>
      <c r="H49" s="553">
        <f t="shared" si="21"/>
        <v>2647.2950000000001</v>
      </c>
      <c r="I49" s="553">
        <f t="shared" si="21"/>
        <v>2825.576</v>
      </c>
      <c r="J49" s="554">
        <f t="shared" ref="J49:K49" si="22">SUM(J40:J48)</f>
        <v>3001.2110000000002</v>
      </c>
      <c r="K49" s="552">
        <f t="shared" si="22"/>
        <v>3108.3469999999998</v>
      </c>
      <c r="L49" s="553">
        <f t="shared" ref="L49:R49" si="23">SUM(L40:L48)</f>
        <v>9091.7000000000007</v>
      </c>
      <c r="M49" s="553">
        <f t="shared" si="23"/>
        <v>9130.7000000000007</v>
      </c>
      <c r="N49" s="554">
        <f t="shared" si="23"/>
        <v>9078.2000000000007</v>
      </c>
      <c r="O49" s="552">
        <f t="shared" si="23"/>
        <v>9311.9</v>
      </c>
      <c r="P49" s="553">
        <f t="shared" si="23"/>
        <v>9557.8000000000011</v>
      </c>
      <c r="Q49" s="553">
        <f t="shared" si="23"/>
        <v>10060</v>
      </c>
      <c r="R49" s="554">
        <f t="shared" si="23"/>
        <v>10250.1</v>
      </c>
      <c r="S49" s="552">
        <f t="shared" ref="S49:Z49" si="24">SUM(S40:S48)</f>
        <v>10427.6</v>
      </c>
      <c r="T49" s="553">
        <f t="shared" si="24"/>
        <v>10667.1</v>
      </c>
      <c r="U49" s="553">
        <f t="shared" si="24"/>
        <v>10947.4</v>
      </c>
      <c r="V49" s="554">
        <f t="shared" si="24"/>
        <v>11299.6</v>
      </c>
      <c r="W49" s="552">
        <f t="shared" si="24"/>
        <v>11578.3</v>
      </c>
      <c r="X49" s="553">
        <f t="shared" si="24"/>
        <v>11664.6</v>
      </c>
      <c r="Y49" s="553">
        <f t="shared" si="24"/>
        <v>11907.400000000001</v>
      </c>
      <c r="Z49" s="554">
        <f t="shared" si="24"/>
        <v>12074.2</v>
      </c>
      <c r="AA49" s="552">
        <f t="shared" ref="AA49:AC49" si="25">SUM(AA40:AA48)</f>
        <v>12871</v>
      </c>
      <c r="AB49" s="553">
        <f t="shared" si="25"/>
        <v>12899.7</v>
      </c>
      <c r="AC49" s="553">
        <f t="shared" si="25"/>
        <v>13126</v>
      </c>
      <c r="AD49" s="554">
        <f>SUM(AD40:AD48)</f>
        <v>13227</v>
      </c>
      <c r="AE49" s="552">
        <f>SUM(AE40:AE48)</f>
        <v>13519</v>
      </c>
      <c r="AF49" s="553">
        <f t="shared" ref="AF49:AG49" si="26">SUM(AF40:AF48)</f>
        <v>13268</v>
      </c>
      <c r="AG49" s="553">
        <f t="shared" si="26"/>
        <v>13499.4</v>
      </c>
      <c r="AH49" s="554">
        <f>SUM(AH40:AH48)</f>
        <v>13811.3</v>
      </c>
      <c r="AI49" s="552">
        <f>SUM(AI40:AI48)</f>
        <v>13987.400000000001</v>
      </c>
      <c r="AJ49" s="553">
        <f t="shared" ref="AJ49:AK49" si="27">SUM(AJ40:AJ48)</f>
        <v>14290.5</v>
      </c>
      <c r="AK49" s="553">
        <f t="shared" si="27"/>
        <v>13996.7</v>
      </c>
      <c r="AL49" s="554">
        <f>SUM(AL40:AL48)</f>
        <v>14432.8</v>
      </c>
      <c r="AM49" s="553">
        <f>SUM(AM40:AM48)</f>
        <v>14718.4</v>
      </c>
      <c r="AN49" s="553">
        <f t="shared" ref="AN49:AO49" si="28">SUM(AN40:AN48)</f>
        <v>14472.5</v>
      </c>
      <c r="AO49" s="553">
        <f t="shared" si="28"/>
        <v>0</v>
      </c>
      <c r="AP49" s="554">
        <f>SUM(AP40:AP48)</f>
        <v>0</v>
      </c>
    </row>
    <row r="50" spans="1:42" s="10" customFormat="1" ht="20.100000000000001" customHeight="1" thickBot="1">
      <c r="A50" s="33" t="s">
        <v>205</v>
      </c>
      <c r="B50" s="155" t="s">
        <v>206</v>
      </c>
      <c r="C50" s="29">
        <v>0</v>
      </c>
      <c r="D50" s="29">
        <v>0</v>
      </c>
      <c r="E50" s="29">
        <v>0</v>
      </c>
      <c r="F50" s="323">
        <v>0</v>
      </c>
      <c r="G50" s="324">
        <v>0</v>
      </c>
      <c r="H50" s="324">
        <v>0</v>
      </c>
      <c r="I50" s="528">
        <f>2/1000</f>
        <v>2E-3</v>
      </c>
      <c r="J50" s="528">
        <f>2/1000</f>
        <v>2E-3</v>
      </c>
      <c r="K50" s="529">
        <f>2/1000</f>
        <v>2E-3</v>
      </c>
      <c r="L50" s="324">
        <v>0</v>
      </c>
      <c r="M50" s="324">
        <v>0</v>
      </c>
      <c r="N50" s="323">
        <v>0</v>
      </c>
      <c r="O50" s="324">
        <v>0</v>
      </c>
      <c r="P50" s="324">
        <v>0</v>
      </c>
      <c r="Q50" s="324">
        <v>0</v>
      </c>
      <c r="R50" s="82">
        <v>0</v>
      </c>
      <c r="S50" s="314">
        <v>-22.4</v>
      </c>
      <c r="T50" s="314">
        <v>94.5</v>
      </c>
      <c r="U50" s="314">
        <v>86.1</v>
      </c>
      <c r="V50" s="82">
        <v>78</v>
      </c>
      <c r="W50" s="314">
        <v>70</v>
      </c>
      <c r="X50" s="314">
        <v>60.5</v>
      </c>
      <c r="Y50" s="314">
        <v>52.5</v>
      </c>
      <c r="Z50" s="82">
        <v>42.6</v>
      </c>
      <c r="AA50" s="314">
        <v>34</v>
      </c>
      <c r="AB50" s="314">
        <v>554.29999999999995</v>
      </c>
      <c r="AC50" s="314">
        <v>555.29999999999995</v>
      </c>
      <c r="AD50" s="82">
        <v>648.20000000000005</v>
      </c>
      <c r="AE50" s="314">
        <v>653.6</v>
      </c>
      <c r="AF50" s="314">
        <v>650.5</v>
      </c>
      <c r="AG50" s="314">
        <v>655.7</v>
      </c>
      <c r="AH50" s="82">
        <v>653.20000000000005</v>
      </c>
      <c r="AI50" s="314">
        <v>652.6</v>
      </c>
      <c r="AJ50" s="314">
        <v>647.5</v>
      </c>
      <c r="AK50" s="314">
        <v>646.6</v>
      </c>
      <c r="AL50" s="82">
        <v>-6.6</v>
      </c>
      <c r="AM50" s="314">
        <v>647.9</v>
      </c>
      <c r="AN50" s="314">
        <v>489.9</v>
      </c>
      <c r="AO50" s="314"/>
      <c r="AP50" s="82"/>
    </row>
    <row r="51" spans="1:42" s="321" customFormat="1" ht="24.95" customHeight="1" thickBot="1">
      <c r="A51" s="551" t="s">
        <v>207</v>
      </c>
      <c r="B51" s="551" t="s">
        <v>208</v>
      </c>
      <c r="C51" s="552">
        <f t="shared" ref="C51" si="29">C49+C50</f>
        <v>2090.7669999999998</v>
      </c>
      <c r="D51" s="553">
        <f t="shared" ref="D51" si="30">D49+D50</f>
        <v>2192.2690000000002</v>
      </c>
      <c r="E51" s="553">
        <f t="shared" ref="E51" si="31">E49+E50</f>
        <v>2354.915</v>
      </c>
      <c r="F51" s="554">
        <f t="shared" ref="F51:H51" si="32">F49</f>
        <v>2468.4030000000002</v>
      </c>
      <c r="G51" s="553">
        <f t="shared" si="32"/>
        <v>2562.1680000000001</v>
      </c>
      <c r="H51" s="553">
        <f t="shared" si="32"/>
        <v>2647.2950000000001</v>
      </c>
      <c r="I51" s="553">
        <f>SUM(I49:I50)</f>
        <v>2825.578</v>
      </c>
      <c r="J51" s="554">
        <f t="shared" ref="J51:P51" si="33">J49+J50</f>
        <v>3001.2130000000002</v>
      </c>
      <c r="K51" s="552">
        <f t="shared" si="33"/>
        <v>3108.3489999999997</v>
      </c>
      <c r="L51" s="553">
        <f t="shared" si="33"/>
        <v>9091.7000000000007</v>
      </c>
      <c r="M51" s="553">
        <f t="shared" si="33"/>
        <v>9130.7000000000007</v>
      </c>
      <c r="N51" s="554">
        <f t="shared" si="33"/>
        <v>9078.2000000000007</v>
      </c>
      <c r="O51" s="552">
        <f t="shared" si="33"/>
        <v>9311.9</v>
      </c>
      <c r="P51" s="553">
        <f t="shared" si="33"/>
        <v>9557.8000000000011</v>
      </c>
      <c r="Q51" s="553">
        <f t="shared" ref="Q51:S51" si="34">Q49+Q50</f>
        <v>10060</v>
      </c>
      <c r="R51" s="554">
        <f t="shared" si="34"/>
        <v>10250.1</v>
      </c>
      <c r="S51" s="552">
        <f t="shared" si="34"/>
        <v>10405.200000000001</v>
      </c>
      <c r="T51" s="553">
        <f t="shared" ref="T51:Z51" si="35">T49+T50</f>
        <v>10761.6</v>
      </c>
      <c r="U51" s="553">
        <f t="shared" si="35"/>
        <v>11033.5</v>
      </c>
      <c r="V51" s="554">
        <f t="shared" si="35"/>
        <v>11377.6</v>
      </c>
      <c r="W51" s="552">
        <f t="shared" si="35"/>
        <v>11648.3</v>
      </c>
      <c r="X51" s="553">
        <f t="shared" si="35"/>
        <v>11725.1</v>
      </c>
      <c r="Y51" s="553">
        <f t="shared" si="35"/>
        <v>11959.900000000001</v>
      </c>
      <c r="Z51" s="554">
        <f t="shared" si="35"/>
        <v>12116.800000000001</v>
      </c>
      <c r="AA51" s="552">
        <f t="shared" ref="AA51:AD51" si="36">AA49+AA50</f>
        <v>12905</v>
      </c>
      <c r="AB51" s="553">
        <f t="shared" si="36"/>
        <v>13454</v>
      </c>
      <c r="AC51" s="553">
        <f t="shared" si="36"/>
        <v>13681.3</v>
      </c>
      <c r="AD51" s="554">
        <f t="shared" si="36"/>
        <v>13875.2</v>
      </c>
      <c r="AE51" s="552">
        <f t="shared" ref="AE51:AH51" si="37">AE49+AE50</f>
        <v>14172.6</v>
      </c>
      <c r="AF51" s="553">
        <f t="shared" si="37"/>
        <v>13918.5</v>
      </c>
      <c r="AG51" s="553">
        <f t="shared" si="37"/>
        <v>14155.1</v>
      </c>
      <c r="AH51" s="554">
        <f t="shared" si="37"/>
        <v>14464.5</v>
      </c>
      <c r="AI51" s="552">
        <f t="shared" ref="AI51:AL51" si="38">AI49+AI50</f>
        <v>14640.000000000002</v>
      </c>
      <c r="AJ51" s="553">
        <f t="shared" si="38"/>
        <v>14938</v>
      </c>
      <c r="AK51" s="553">
        <f t="shared" si="38"/>
        <v>14643.300000000001</v>
      </c>
      <c r="AL51" s="554">
        <f t="shared" si="38"/>
        <v>14426.199999999999</v>
      </c>
      <c r="AM51" s="552">
        <f t="shared" ref="AM51:AP51" si="39">AM49+AM50</f>
        <v>15366.3</v>
      </c>
      <c r="AN51" s="553">
        <f t="shared" si="39"/>
        <v>14962.4</v>
      </c>
      <c r="AO51" s="553">
        <f t="shared" si="39"/>
        <v>0</v>
      </c>
      <c r="AP51" s="554">
        <f t="shared" si="39"/>
        <v>0</v>
      </c>
    </row>
    <row r="52" spans="1:42" s="10" customFormat="1" ht="20.100000000000001" customHeight="1">
      <c r="A52" s="33" t="s">
        <v>209</v>
      </c>
      <c r="B52" s="154" t="s">
        <v>210</v>
      </c>
      <c r="C52" s="36">
        <f>932.068</f>
        <v>932.06799999999998</v>
      </c>
      <c r="D52" s="36">
        <f>(889155)*0.001</f>
        <v>889.15499999999997</v>
      </c>
      <c r="E52" s="36">
        <f>(680371)*0.001</f>
        <v>680.37099999999998</v>
      </c>
      <c r="F52" s="338">
        <f>(592003)*0.001</f>
        <v>592.00300000000004</v>
      </c>
      <c r="G52" s="333">
        <f>(572819)*0.001</f>
        <v>572.81899999999996</v>
      </c>
      <c r="H52" s="333">
        <f>(422858)*0.001</f>
        <v>422.858</v>
      </c>
      <c r="I52" s="333">
        <f>(329798)*0.001</f>
        <v>329.798</v>
      </c>
      <c r="J52" s="333">
        <f>(239889)*0.001</f>
        <v>239.88900000000001</v>
      </c>
      <c r="K52" s="339">
        <f>(236277)*0.001</f>
        <v>236.27700000000002</v>
      </c>
      <c r="L52" s="327">
        <v>8446.1</v>
      </c>
      <c r="M52" s="327">
        <v>7976.3</v>
      </c>
      <c r="N52" s="329">
        <v>7683.5</v>
      </c>
      <c r="O52" s="328">
        <v>7357.9</v>
      </c>
      <c r="P52" s="328">
        <v>7034.6</v>
      </c>
      <c r="Q52" s="327">
        <v>5644.9</v>
      </c>
      <c r="R52" s="82">
        <v>5379.8</v>
      </c>
      <c r="S52" s="315">
        <v>9982.1</v>
      </c>
      <c r="T52" s="315">
        <v>9752</v>
      </c>
      <c r="U52" s="315">
        <v>9530.2999999999993</v>
      </c>
      <c r="V52" s="82">
        <v>9302.7000000000007</v>
      </c>
      <c r="W52" s="315">
        <v>9056</v>
      </c>
      <c r="X52" s="315">
        <v>8808.6</v>
      </c>
      <c r="Y52" s="315">
        <v>8561.9</v>
      </c>
      <c r="Z52" s="82">
        <v>9291.4</v>
      </c>
      <c r="AA52" s="315">
        <v>9474.7000000000007</v>
      </c>
      <c r="AB52" s="315">
        <v>9139.4</v>
      </c>
      <c r="AC52" s="312">
        <v>9043.7999999999993</v>
      </c>
      <c r="AD52" s="82">
        <v>8605.2999999999993</v>
      </c>
      <c r="AE52" s="315">
        <v>8339.7999999999993</v>
      </c>
      <c r="AF52" s="315">
        <v>8100.2</v>
      </c>
      <c r="AG52" s="315">
        <v>7861.1</v>
      </c>
      <c r="AH52" s="82">
        <v>8617</v>
      </c>
      <c r="AI52" s="315">
        <v>8453.4</v>
      </c>
      <c r="AJ52" s="315">
        <v>9258.2999999999993</v>
      </c>
      <c r="AK52" s="315">
        <v>9073.7000000000007</v>
      </c>
      <c r="AL52" s="82">
        <v>8887.7999999999993</v>
      </c>
      <c r="AM52" s="315">
        <v>8701.9</v>
      </c>
      <c r="AN52" s="315">
        <v>8514.2000000000007</v>
      </c>
      <c r="AO52" s="315"/>
      <c r="AP52" s="82"/>
    </row>
    <row r="53" spans="1:42" s="10" customFormat="1" ht="20.100000000000001" customHeight="1">
      <c r="A53" s="33" t="s">
        <v>211</v>
      </c>
      <c r="B53" s="154" t="s">
        <v>212</v>
      </c>
      <c r="C53" s="22">
        <f>1360.637</f>
        <v>1360.6369999999999</v>
      </c>
      <c r="D53" s="22">
        <f>(1369593)*0.001</f>
        <v>1369.5930000000001</v>
      </c>
      <c r="E53" s="22">
        <f>(1347224)*0.001</f>
        <v>1347.2239999999999</v>
      </c>
      <c r="F53" s="326">
        <f>(1316479)*0.001</f>
        <v>1316.479</v>
      </c>
      <c r="G53" s="327">
        <f>(1370119)*0.001</f>
        <v>1370.1190000000001</v>
      </c>
      <c r="H53" s="327">
        <f>(1395972)*0.001</f>
        <v>1395.972</v>
      </c>
      <c r="I53" s="327">
        <f>(1385314)*0.001</f>
        <v>1385.3140000000001</v>
      </c>
      <c r="J53" s="326">
        <f>(1340010)*0.001</f>
        <v>1340.01</v>
      </c>
      <c r="K53" s="327">
        <f>(1396071)*0.001</f>
        <v>1396.0710000000001</v>
      </c>
      <c r="L53" s="327">
        <v>4286.8999999999996</v>
      </c>
      <c r="M53" s="327">
        <v>4302.1000000000004</v>
      </c>
      <c r="N53" s="329">
        <v>4550.2</v>
      </c>
      <c r="O53" s="328">
        <v>4470</v>
      </c>
      <c r="P53" s="328">
        <v>4582.5</v>
      </c>
      <c r="Q53" s="327">
        <v>964.4</v>
      </c>
      <c r="R53" s="82">
        <v>975.3</v>
      </c>
      <c r="S53" s="315">
        <v>2252.6</v>
      </c>
      <c r="T53" s="315">
        <v>1795.1</v>
      </c>
      <c r="U53" s="315">
        <v>1805.1</v>
      </c>
      <c r="V53" s="82">
        <v>1835.7</v>
      </c>
      <c r="W53" s="315">
        <v>964.9</v>
      </c>
      <c r="X53" s="315">
        <v>975.3</v>
      </c>
      <c r="Y53" s="315">
        <v>965.2</v>
      </c>
      <c r="Z53" s="82">
        <v>975.7</v>
      </c>
      <c r="AA53" s="315">
        <v>965.2</v>
      </c>
      <c r="AB53" s="315">
        <v>975.5</v>
      </c>
      <c r="AC53" s="312">
        <v>965.6</v>
      </c>
      <c r="AD53" s="82">
        <v>976</v>
      </c>
      <c r="AE53" s="315">
        <v>965.5</v>
      </c>
      <c r="AF53" s="315">
        <v>968.9</v>
      </c>
      <c r="AG53" s="315">
        <v>977.7</v>
      </c>
      <c r="AH53" s="82">
        <v>969.2</v>
      </c>
      <c r="AI53" s="315">
        <v>1950.7</v>
      </c>
      <c r="AJ53" s="315">
        <v>1957.7</v>
      </c>
      <c r="AK53" s="315">
        <v>1958.8</v>
      </c>
      <c r="AL53" s="82">
        <v>1959.2</v>
      </c>
      <c r="AM53" s="315">
        <v>1959.8</v>
      </c>
      <c r="AN53" s="315">
        <v>1960.1</v>
      </c>
      <c r="AO53" s="315"/>
      <c r="AP53" s="82"/>
    </row>
    <row r="54" spans="1:42" s="10" customFormat="1" ht="20.100000000000001" customHeight="1">
      <c r="A54" s="135" t="s">
        <v>213</v>
      </c>
      <c r="B54" s="156" t="s">
        <v>214</v>
      </c>
      <c r="C54" s="36">
        <f>0.81</f>
        <v>0.81</v>
      </c>
      <c r="D54" s="36">
        <f>(741)*0.001</f>
        <v>0.74099999999999999</v>
      </c>
      <c r="E54" s="36">
        <f>(638)*0.001</f>
        <v>0.63800000000000001</v>
      </c>
      <c r="F54" s="338">
        <f>(551)*0.001</f>
        <v>0.55100000000000005</v>
      </c>
      <c r="G54" s="333">
        <f>(474)*0.001</f>
        <v>0.47400000000000003</v>
      </c>
      <c r="H54" s="333">
        <f>(424)*0.001</f>
        <v>0.42399999999999999</v>
      </c>
      <c r="I54" s="333">
        <f>(306)*0.001</f>
        <v>0.30599999999999999</v>
      </c>
      <c r="J54" s="333">
        <f>(227)*0.001</f>
        <v>0.22700000000000001</v>
      </c>
      <c r="K54" s="339">
        <f>(166)*0.001</f>
        <v>0.16600000000000001</v>
      </c>
      <c r="L54" s="330">
        <v>4.5</v>
      </c>
      <c r="M54" s="330">
        <v>7.9</v>
      </c>
      <c r="N54" s="337">
        <v>11.7</v>
      </c>
      <c r="O54" s="340">
        <v>13.4</v>
      </c>
      <c r="P54" s="340">
        <v>15.7</v>
      </c>
      <c r="Q54" s="330">
        <v>21.3</v>
      </c>
      <c r="R54" s="82">
        <v>20.9</v>
      </c>
      <c r="S54" s="312">
        <v>21.2</v>
      </c>
      <c r="T54" s="312">
        <v>23.3</v>
      </c>
      <c r="U54" s="312">
        <v>22.1</v>
      </c>
      <c r="V54" s="82">
        <v>20.9</v>
      </c>
      <c r="W54" s="312">
        <v>22.6</v>
      </c>
      <c r="X54" s="312">
        <v>21.4</v>
      </c>
      <c r="Y54" s="312">
        <v>19.399999999999999</v>
      </c>
      <c r="Z54" s="82">
        <v>18.600000000000001</v>
      </c>
      <c r="AA54" s="312">
        <v>17.3</v>
      </c>
      <c r="AB54" s="312">
        <v>14.6</v>
      </c>
      <c r="AC54" s="312">
        <v>15</v>
      </c>
      <c r="AD54" s="82">
        <v>15.8</v>
      </c>
      <c r="AE54" s="312">
        <v>1070</v>
      </c>
      <c r="AF54" s="312">
        <v>997.6</v>
      </c>
      <c r="AG54" s="315">
        <v>946.9</v>
      </c>
      <c r="AH54" s="82">
        <v>1023.8</v>
      </c>
      <c r="AI54" s="312">
        <v>986.2</v>
      </c>
      <c r="AJ54" s="312">
        <v>1021.2</v>
      </c>
      <c r="AK54" s="315">
        <v>1016.4</v>
      </c>
      <c r="AL54" s="82">
        <v>1140.5</v>
      </c>
      <c r="AM54" s="312">
        <v>537.4</v>
      </c>
      <c r="AN54" s="315">
        <v>504.2</v>
      </c>
      <c r="AO54" s="315"/>
      <c r="AP54" s="82"/>
    </row>
    <row r="55" spans="1:42" s="10" customFormat="1" ht="20.100000000000001" customHeight="1">
      <c r="A55" s="33" t="s">
        <v>215</v>
      </c>
      <c r="B55" s="154" t="s">
        <v>216</v>
      </c>
      <c r="C55" s="23">
        <f>0*($A$84)</f>
        <v>0</v>
      </c>
      <c r="D55" s="23">
        <f>0</f>
        <v>0</v>
      </c>
      <c r="E55" s="23">
        <f>0</f>
        <v>0</v>
      </c>
      <c r="F55" s="341">
        <v>0</v>
      </c>
      <c r="G55" s="342">
        <v>0</v>
      </c>
      <c r="H55" s="342">
        <f>0</f>
        <v>0</v>
      </c>
      <c r="I55" s="342">
        <v>0</v>
      </c>
      <c r="J55" s="342">
        <v>0</v>
      </c>
      <c r="K55" s="343">
        <v>0</v>
      </c>
      <c r="L55" s="330">
        <v>835.8</v>
      </c>
      <c r="M55" s="330">
        <v>730.2</v>
      </c>
      <c r="N55" s="337">
        <v>750.3</v>
      </c>
      <c r="O55" s="340">
        <v>724.4</v>
      </c>
      <c r="P55" s="340">
        <v>747.9</v>
      </c>
      <c r="Q55" s="330">
        <v>645.1</v>
      </c>
      <c r="R55" s="82">
        <v>652.79999999999995</v>
      </c>
      <c r="S55" s="312">
        <v>658</v>
      </c>
      <c r="T55" s="312">
        <v>686.7</v>
      </c>
      <c r="U55" s="312">
        <v>555.79999999999995</v>
      </c>
      <c r="V55" s="82">
        <v>574</v>
      </c>
      <c r="W55" s="312">
        <v>551</v>
      </c>
      <c r="X55" s="312">
        <v>555.4</v>
      </c>
      <c r="Y55" s="312">
        <v>452.4</v>
      </c>
      <c r="Z55" s="82">
        <v>440.8</v>
      </c>
      <c r="AA55" s="312">
        <v>447.6</v>
      </c>
      <c r="AB55" s="312">
        <v>466.9</v>
      </c>
      <c r="AC55" s="312">
        <v>343.6</v>
      </c>
      <c r="AD55" s="82">
        <v>348.2</v>
      </c>
      <c r="AE55" s="312">
        <v>350.5</v>
      </c>
      <c r="AF55" s="312">
        <v>348.8</v>
      </c>
      <c r="AG55" s="315">
        <v>241.7</v>
      </c>
      <c r="AH55" s="82">
        <v>236.9</v>
      </c>
      <c r="AI55" s="312">
        <v>254.9</v>
      </c>
      <c r="AJ55" s="312">
        <v>251.7</v>
      </c>
      <c r="AK55" s="315">
        <v>133.30000000000001</v>
      </c>
      <c r="AL55" s="82">
        <v>136.69999999999999</v>
      </c>
      <c r="AM55" s="312">
        <v>139</v>
      </c>
      <c r="AN55" s="315">
        <v>135.69999999999999</v>
      </c>
      <c r="AO55" s="315"/>
      <c r="AP55" s="82"/>
    </row>
    <row r="56" spans="1:42" s="10" customFormat="1" ht="20.100000000000001" customHeight="1">
      <c r="A56" s="33" t="s">
        <v>217</v>
      </c>
      <c r="B56" s="154" t="s">
        <v>218</v>
      </c>
      <c r="C56" s="48">
        <f>87.307</f>
        <v>87.307000000000002</v>
      </c>
      <c r="D56" s="48">
        <f>(88480)*0.001</f>
        <v>88.48</v>
      </c>
      <c r="E56" s="48">
        <f>(97271)*0.001</f>
        <v>97.271000000000001</v>
      </c>
      <c r="F56" s="331">
        <f>(94258)*0.001</f>
        <v>94.257999999999996</v>
      </c>
      <c r="G56" s="332">
        <f>(93487)*0.001</f>
        <v>93.487000000000009</v>
      </c>
      <c r="H56" s="332">
        <f>(93150)*0.001</f>
        <v>93.15</v>
      </c>
      <c r="I56" s="332">
        <f>(98799)*0.001</f>
        <v>98.799000000000007</v>
      </c>
      <c r="J56" s="332">
        <f>(108066)*0.001</f>
        <v>108.066</v>
      </c>
      <c r="K56" s="344">
        <f>(95950)*0.001</f>
        <v>95.95</v>
      </c>
      <c r="L56" s="327">
        <v>1010.7</v>
      </c>
      <c r="M56" s="327">
        <v>1038.8</v>
      </c>
      <c r="N56" s="337">
        <v>908.7</v>
      </c>
      <c r="O56" s="340">
        <v>888.6</v>
      </c>
      <c r="P56" s="340">
        <v>821.1</v>
      </c>
      <c r="Q56" s="327">
        <v>770.4</v>
      </c>
      <c r="R56" s="82">
        <v>615.79999999999995</v>
      </c>
      <c r="S56" s="312">
        <v>694.4</v>
      </c>
      <c r="T56" s="312">
        <v>889.1</v>
      </c>
      <c r="U56" s="312">
        <v>923.2</v>
      </c>
      <c r="V56" s="82">
        <v>786.9</v>
      </c>
      <c r="W56" s="312">
        <v>812.3</v>
      </c>
      <c r="X56" s="312">
        <v>775.7</v>
      </c>
      <c r="Y56" s="312">
        <v>771.8</v>
      </c>
      <c r="Z56" s="82">
        <v>879.8</v>
      </c>
      <c r="AA56" s="312">
        <v>1034.8</v>
      </c>
      <c r="AB56" s="312">
        <v>1027.8</v>
      </c>
      <c r="AC56" s="312">
        <v>1006.2</v>
      </c>
      <c r="AD56" s="82">
        <v>1160.0999999999999</v>
      </c>
      <c r="AE56" s="312">
        <v>1132</v>
      </c>
      <c r="AF56" s="312">
        <v>1129.8</v>
      </c>
      <c r="AG56" s="315">
        <v>1086.0999999999999</v>
      </c>
      <c r="AH56" s="82">
        <v>1025.3</v>
      </c>
      <c r="AI56" s="312">
        <v>950.2</v>
      </c>
      <c r="AJ56" s="312">
        <v>973.2</v>
      </c>
      <c r="AK56" s="315">
        <v>984.4</v>
      </c>
      <c r="AL56" s="82">
        <v>902.1</v>
      </c>
      <c r="AM56" s="312">
        <v>857.5</v>
      </c>
      <c r="AN56" s="315">
        <v>885.5</v>
      </c>
      <c r="AO56" s="315"/>
      <c r="AP56" s="82"/>
    </row>
    <row r="57" spans="1:42" s="10" customFormat="1" ht="20.100000000000001" customHeight="1">
      <c r="A57" s="33" t="s">
        <v>219</v>
      </c>
      <c r="B57" s="154" t="s">
        <v>220</v>
      </c>
      <c r="C57" s="29">
        <v>0</v>
      </c>
      <c r="D57" s="48">
        <f>(6285)*0.001</f>
        <v>6.2850000000000001</v>
      </c>
      <c r="E57" s="48">
        <f>(5716)*0.001</f>
        <v>5.7160000000000002</v>
      </c>
      <c r="F57" s="331">
        <f>(5181)*0.001</f>
        <v>5.181</v>
      </c>
      <c r="G57" s="332">
        <f>(4978)*0.001</f>
        <v>4.9779999999999998</v>
      </c>
      <c r="H57" s="332">
        <f>(4754)*0.001</f>
        <v>4.7540000000000004</v>
      </c>
      <c r="I57" s="332">
        <f>(4303)*0.001</f>
        <v>4.3029999999999999</v>
      </c>
      <c r="J57" s="332">
        <f>(4079)*0.001</f>
        <v>4.0789999999999997</v>
      </c>
      <c r="K57" s="344">
        <f>(3008)*0.001</f>
        <v>3.008</v>
      </c>
      <c r="L57" s="330">
        <v>2.8</v>
      </c>
      <c r="M57" s="330">
        <v>3.9</v>
      </c>
      <c r="N57" s="337">
        <v>4.7</v>
      </c>
      <c r="O57" s="340">
        <v>5.5</v>
      </c>
      <c r="P57" s="340">
        <v>5</v>
      </c>
      <c r="Q57" s="330">
        <v>4.5</v>
      </c>
      <c r="R57" s="82">
        <v>4.7</v>
      </c>
      <c r="S57" s="312">
        <v>22.1</v>
      </c>
      <c r="T57" s="312">
        <v>21</v>
      </c>
      <c r="U57" s="312">
        <v>20.100000000000001</v>
      </c>
      <c r="V57" s="82">
        <v>20.100000000000001</v>
      </c>
      <c r="W57" s="312">
        <v>4</v>
      </c>
      <c r="X57" s="312">
        <v>3.8</v>
      </c>
      <c r="Y57" s="312">
        <v>3.4</v>
      </c>
      <c r="Z57" s="82">
        <v>3.2</v>
      </c>
      <c r="AA57" s="312">
        <v>0</v>
      </c>
      <c r="AB57" s="312">
        <v>0</v>
      </c>
      <c r="AC57" s="312">
        <v>0</v>
      </c>
      <c r="AD57" s="82">
        <v>0</v>
      </c>
      <c r="AE57" s="312">
        <v>0</v>
      </c>
      <c r="AF57" s="312">
        <v>0</v>
      </c>
      <c r="AG57" s="315">
        <v>0</v>
      </c>
      <c r="AH57" s="82">
        <v>0</v>
      </c>
      <c r="AI57" s="312">
        <v>0</v>
      </c>
      <c r="AJ57" s="312">
        <v>0</v>
      </c>
      <c r="AK57" s="315">
        <v>0</v>
      </c>
      <c r="AL57" s="82">
        <v>0</v>
      </c>
      <c r="AM57" s="312">
        <v>0</v>
      </c>
      <c r="AN57" s="315">
        <v>0</v>
      </c>
      <c r="AO57" s="315"/>
      <c r="AP57" s="82"/>
    </row>
    <row r="58" spans="1:42" s="10" customFormat="1" ht="20.100000000000001" customHeight="1">
      <c r="A58" s="33" t="s">
        <v>221</v>
      </c>
      <c r="B58" s="154" t="s">
        <v>222</v>
      </c>
      <c r="C58" s="48">
        <f>13.779</f>
        <v>13.779</v>
      </c>
      <c r="D58" s="48">
        <f>(17835)*0.001</f>
        <v>17.835000000000001</v>
      </c>
      <c r="E58" s="48">
        <f>(19037)*0.001</f>
        <v>19.036999999999999</v>
      </c>
      <c r="F58" s="331">
        <f>(17690)*0.001</f>
        <v>17.690000000000001</v>
      </c>
      <c r="G58" s="332">
        <f>(17684)*0.001</f>
        <v>17.684000000000001</v>
      </c>
      <c r="H58" s="332">
        <f>(10154)*0.001</f>
        <v>10.154</v>
      </c>
      <c r="I58" s="332">
        <f>(8594)*0.001</f>
        <v>8.5939999999999994</v>
      </c>
      <c r="J58" s="332">
        <f>(7915)*0.001</f>
        <v>7.915</v>
      </c>
      <c r="K58" s="344">
        <f>(7828)*0.001</f>
        <v>7.8280000000000003</v>
      </c>
      <c r="L58" s="330">
        <v>158.19999999999999</v>
      </c>
      <c r="M58" s="330">
        <v>164.6</v>
      </c>
      <c r="N58" s="337">
        <v>184.2</v>
      </c>
      <c r="O58" s="340">
        <v>167.4</v>
      </c>
      <c r="P58" s="340">
        <v>132.4</v>
      </c>
      <c r="Q58" s="330">
        <v>133.1</v>
      </c>
      <c r="R58" s="82">
        <v>124.2</v>
      </c>
      <c r="S58" s="312">
        <v>157.30000000000001</v>
      </c>
      <c r="T58" s="312">
        <v>148.9</v>
      </c>
      <c r="U58" s="312">
        <v>148.19999999999999</v>
      </c>
      <c r="V58" s="82">
        <v>130.19999999999999</v>
      </c>
      <c r="W58" s="312">
        <v>128.1</v>
      </c>
      <c r="X58" s="312">
        <v>122</v>
      </c>
      <c r="Y58" s="312">
        <v>122.2</v>
      </c>
      <c r="Z58" s="82">
        <v>114.2</v>
      </c>
      <c r="AA58" s="312">
        <v>122.4</v>
      </c>
      <c r="AB58" s="312">
        <v>436.6</v>
      </c>
      <c r="AC58" s="312">
        <v>728.3</v>
      </c>
      <c r="AD58" s="82">
        <v>697.6</v>
      </c>
      <c r="AE58" s="312">
        <v>620.1</v>
      </c>
      <c r="AF58" s="312">
        <v>494</v>
      </c>
      <c r="AG58" s="315">
        <v>380.5</v>
      </c>
      <c r="AH58" s="82">
        <v>384.7</v>
      </c>
      <c r="AI58" s="312">
        <v>311.8</v>
      </c>
      <c r="AJ58" s="312">
        <v>334.5</v>
      </c>
      <c r="AK58" s="315">
        <v>346.2</v>
      </c>
      <c r="AL58" s="82">
        <v>388.1</v>
      </c>
      <c r="AM58" s="312">
        <v>104.9</v>
      </c>
      <c r="AN58" s="315">
        <v>95.4</v>
      </c>
      <c r="AO58" s="315"/>
      <c r="AP58" s="82"/>
    </row>
    <row r="59" spans="1:42" s="19" customFormat="1" ht="20.100000000000001" customHeight="1" thickBot="1">
      <c r="A59" s="35" t="s">
        <v>223</v>
      </c>
      <c r="B59" s="159" t="s">
        <v>224</v>
      </c>
      <c r="C59" s="23">
        <f>0*($A$84)</f>
        <v>0</v>
      </c>
      <c r="D59" s="23">
        <f>0</f>
        <v>0</v>
      </c>
      <c r="E59" s="23">
        <f>0</f>
        <v>0</v>
      </c>
      <c r="F59" s="341">
        <v>0</v>
      </c>
      <c r="G59" s="342">
        <v>0</v>
      </c>
      <c r="H59" s="342">
        <f>0</f>
        <v>0</v>
      </c>
      <c r="I59" s="342">
        <v>0</v>
      </c>
      <c r="J59" s="345">
        <v>0.1</v>
      </c>
      <c r="K59" s="343">
        <v>0</v>
      </c>
      <c r="L59" s="342">
        <f>0*($A$84)</f>
        <v>0</v>
      </c>
      <c r="M59" s="342">
        <f>0*($A$84)</f>
        <v>0</v>
      </c>
      <c r="N59" s="345">
        <v>40.1</v>
      </c>
      <c r="O59" s="346">
        <v>22.6</v>
      </c>
      <c r="P59" s="346">
        <v>2</v>
      </c>
      <c r="Q59" s="347">
        <v>1.9</v>
      </c>
      <c r="R59" s="82">
        <v>0</v>
      </c>
      <c r="S59" s="287">
        <v>1.1000000000000001</v>
      </c>
      <c r="T59" s="287">
        <v>0.9</v>
      </c>
      <c r="U59" s="287">
        <v>0</v>
      </c>
      <c r="V59" s="82">
        <v>0</v>
      </c>
      <c r="W59" s="287">
        <v>1.5</v>
      </c>
      <c r="X59" s="287">
        <v>1.7</v>
      </c>
      <c r="Y59" s="287">
        <v>1.3</v>
      </c>
      <c r="Z59" s="82">
        <v>0</v>
      </c>
      <c r="AA59" s="287">
        <v>2.2000000000000002</v>
      </c>
      <c r="AB59" s="287">
        <v>0.5</v>
      </c>
      <c r="AC59" s="287">
        <v>205</v>
      </c>
      <c r="AD59" s="82">
        <v>165.2</v>
      </c>
      <c r="AE59" s="287">
        <v>167.2</v>
      </c>
      <c r="AF59" s="287">
        <v>5.4</v>
      </c>
      <c r="AG59" s="287">
        <v>6.7</v>
      </c>
      <c r="AH59" s="82">
        <v>3.2</v>
      </c>
      <c r="AI59" s="287">
        <v>30.2</v>
      </c>
      <c r="AJ59" s="287">
        <v>29.6</v>
      </c>
      <c r="AK59" s="287">
        <v>24.9</v>
      </c>
      <c r="AL59" s="316">
        <v>16.8</v>
      </c>
      <c r="AM59" s="287">
        <v>6.7</v>
      </c>
      <c r="AN59" s="287">
        <v>1.4</v>
      </c>
      <c r="AO59" s="287"/>
      <c r="AP59" s="316"/>
    </row>
    <row r="60" spans="1:42" s="321" customFormat="1" ht="24.95" customHeight="1" thickBot="1">
      <c r="A60" s="551" t="s">
        <v>225</v>
      </c>
      <c r="B60" s="551" t="s">
        <v>226</v>
      </c>
      <c r="C60" s="552">
        <f t="shared" ref="C60" si="40">SUM(C52:C58)</f>
        <v>2394.6009999999997</v>
      </c>
      <c r="D60" s="553">
        <f t="shared" ref="D60" si="41">SUM(D52:D58)</f>
        <v>2372.0889999999999</v>
      </c>
      <c r="E60" s="553">
        <f t="shared" ref="E60" si="42">SUM(E52:E58)</f>
        <v>2150.2569999999996</v>
      </c>
      <c r="F60" s="554">
        <f t="shared" ref="F60:I60" si="43">SUM(F52:F58)</f>
        <v>2026.162</v>
      </c>
      <c r="G60" s="553">
        <f t="shared" si="43"/>
        <v>2059.5610000000001</v>
      </c>
      <c r="H60" s="553">
        <f t="shared" si="43"/>
        <v>1927.3119999999999</v>
      </c>
      <c r="I60" s="553">
        <f t="shared" si="43"/>
        <v>1827.1140000000003</v>
      </c>
      <c r="J60" s="554">
        <f t="shared" ref="J60:K60" si="44">SUM(J52:J58)</f>
        <v>1700.1859999999999</v>
      </c>
      <c r="K60" s="552">
        <f t="shared" si="44"/>
        <v>1739.3000000000002</v>
      </c>
      <c r="L60" s="553">
        <f t="shared" ref="L60:M60" si="45">SUM(L52:L58)</f>
        <v>14745</v>
      </c>
      <c r="M60" s="553">
        <f t="shared" si="45"/>
        <v>14223.800000000001</v>
      </c>
      <c r="N60" s="554">
        <f t="shared" ref="N60:S60" si="46">SUM(N52:N59)-N59</f>
        <v>14093.300000000003</v>
      </c>
      <c r="O60" s="552">
        <f t="shared" si="46"/>
        <v>13627.199999999999</v>
      </c>
      <c r="P60" s="553">
        <f t="shared" si="46"/>
        <v>13339.2</v>
      </c>
      <c r="Q60" s="553">
        <f t="shared" si="46"/>
        <v>8183.7</v>
      </c>
      <c r="R60" s="554">
        <f t="shared" si="46"/>
        <v>7773.5</v>
      </c>
      <c r="S60" s="552">
        <f t="shared" si="46"/>
        <v>13787.7</v>
      </c>
      <c r="T60" s="553">
        <f t="shared" ref="T60:U60" si="47">SUM(T52:T59)-T59</f>
        <v>13316.1</v>
      </c>
      <c r="U60" s="553">
        <f t="shared" si="47"/>
        <v>13004.800000000001</v>
      </c>
      <c r="V60" s="554">
        <f t="shared" ref="V60" si="48">SUM(V52:V59)-V59</f>
        <v>12670.500000000002</v>
      </c>
      <c r="W60" s="552">
        <f t="shared" ref="W60:Z60" si="49">SUM(W52:W59)-W59</f>
        <v>11538.9</v>
      </c>
      <c r="X60" s="553">
        <f t="shared" si="49"/>
        <v>11262.199999999999</v>
      </c>
      <c r="Y60" s="553">
        <f t="shared" si="49"/>
        <v>10896.3</v>
      </c>
      <c r="Z60" s="554">
        <f t="shared" si="49"/>
        <v>11723.7</v>
      </c>
      <c r="AA60" s="552">
        <f t="shared" ref="AA60:AE60" si="50">SUM(AA52:AA59)-AA59</f>
        <v>12062</v>
      </c>
      <c r="AB60" s="553">
        <f t="shared" si="50"/>
        <v>12060.8</v>
      </c>
      <c r="AC60" s="553">
        <f t="shared" si="50"/>
        <v>12102.5</v>
      </c>
      <c r="AD60" s="554">
        <f t="shared" si="50"/>
        <v>11803</v>
      </c>
      <c r="AE60" s="552">
        <f t="shared" si="50"/>
        <v>12477.9</v>
      </c>
      <c r="AF60" s="553">
        <f t="shared" ref="AF60:AI60" si="51">SUM(AF52:AF59)-AF59</f>
        <v>12039.3</v>
      </c>
      <c r="AG60" s="553">
        <f t="shared" si="51"/>
        <v>11494.000000000002</v>
      </c>
      <c r="AH60" s="554">
        <f t="shared" si="51"/>
        <v>12256.9</v>
      </c>
      <c r="AI60" s="552">
        <f t="shared" si="51"/>
        <v>12907.2</v>
      </c>
      <c r="AJ60" s="553">
        <f t="shared" ref="AJ60:AM60" si="52">SUM(AJ52:AJ59)-AJ59</f>
        <v>13796.600000000002</v>
      </c>
      <c r="AK60" s="553">
        <f t="shared" si="52"/>
        <v>13512.8</v>
      </c>
      <c r="AL60" s="554">
        <f t="shared" si="52"/>
        <v>13414.400000000001</v>
      </c>
      <c r="AM60" s="552">
        <f t="shared" si="52"/>
        <v>12300.499999999998</v>
      </c>
      <c r="AN60" s="553">
        <f t="shared" ref="AN60:AP60" si="53">SUM(AN52:AN59)-AN59</f>
        <v>12095.100000000002</v>
      </c>
      <c r="AO60" s="553">
        <f t="shared" si="53"/>
        <v>0</v>
      </c>
      <c r="AP60" s="554">
        <f t="shared" si="53"/>
        <v>0</v>
      </c>
    </row>
    <row r="61" spans="1:42" s="10" customFormat="1" ht="20.100000000000001" customHeight="1">
      <c r="A61" s="33" t="s">
        <v>209</v>
      </c>
      <c r="B61" s="154" t="s">
        <v>210</v>
      </c>
      <c r="C61" s="48">
        <f>250.363</f>
        <v>250.363</v>
      </c>
      <c r="D61" s="48">
        <f>(265796)*0.001</f>
        <v>265.79599999999999</v>
      </c>
      <c r="E61" s="48">
        <f>(238676)*0.001</f>
        <v>238.67600000000002</v>
      </c>
      <c r="F61" s="331">
        <f>(275608)*0.001</f>
        <v>275.608</v>
      </c>
      <c r="G61" s="332">
        <f>(250329)*0.001</f>
        <v>250.32900000000001</v>
      </c>
      <c r="H61" s="332">
        <f>(263389)*0.001</f>
        <v>263.38900000000001</v>
      </c>
      <c r="I61" s="332">
        <f>(214673)*0.001</f>
        <v>214.673</v>
      </c>
      <c r="J61" s="332">
        <f>(245994)*0.001</f>
        <v>245.994</v>
      </c>
      <c r="K61" s="344">
        <f>(240921)*0.001</f>
        <v>240.92099999999999</v>
      </c>
      <c r="L61" s="327">
        <v>1094.3</v>
      </c>
      <c r="M61" s="327">
        <v>1365.1</v>
      </c>
      <c r="N61" s="329">
        <v>1322.6</v>
      </c>
      <c r="O61" s="328">
        <v>1543.9</v>
      </c>
      <c r="P61" s="328">
        <v>1169.9000000000001</v>
      </c>
      <c r="Q61" s="327">
        <v>963.7</v>
      </c>
      <c r="R61" s="82">
        <v>1230.9000000000001</v>
      </c>
      <c r="S61" s="315">
        <v>1593</v>
      </c>
      <c r="T61" s="315">
        <v>1251.3</v>
      </c>
      <c r="U61" s="315">
        <v>1269.4000000000001</v>
      </c>
      <c r="V61" s="82">
        <v>1270</v>
      </c>
      <c r="W61" s="315">
        <v>1286.8</v>
      </c>
      <c r="X61" s="315">
        <v>1805.9</v>
      </c>
      <c r="Y61" s="315">
        <v>1824.8</v>
      </c>
      <c r="Z61" s="82">
        <v>1341.9</v>
      </c>
      <c r="AA61" s="315">
        <v>552.9</v>
      </c>
      <c r="AB61" s="315">
        <v>1074.7</v>
      </c>
      <c r="AC61" s="312">
        <v>1368.9</v>
      </c>
      <c r="AD61" s="82">
        <v>1611.3</v>
      </c>
      <c r="AE61" s="315">
        <v>1298.2</v>
      </c>
      <c r="AF61" s="315">
        <v>1279</v>
      </c>
      <c r="AG61" s="315">
        <v>1748.5</v>
      </c>
      <c r="AH61" s="82">
        <v>1892.5</v>
      </c>
      <c r="AI61" s="315">
        <v>1241.5999999999999</v>
      </c>
      <c r="AJ61" s="315">
        <v>364.6</v>
      </c>
      <c r="AK61" s="315">
        <v>557.5</v>
      </c>
      <c r="AL61" s="82">
        <v>753</v>
      </c>
      <c r="AM61" s="315">
        <v>947.4</v>
      </c>
      <c r="AN61" s="315">
        <v>1053.4000000000001</v>
      </c>
      <c r="AO61" s="315"/>
      <c r="AP61" s="82"/>
    </row>
    <row r="62" spans="1:42" s="10" customFormat="1" ht="20.100000000000001" customHeight="1">
      <c r="A62" s="33" t="s">
        <v>211</v>
      </c>
      <c r="B62" s="154" t="s">
        <v>212</v>
      </c>
      <c r="C62" s="48">
        <f>100.836</f>
        <v>100.836</v>
      </c>
      <c r="D62" s="48">
        <f>(101342)*0.001</f>
        <v>101.342</v>
      </c>
      <c r="E62" s="48">
        <f>(99687)*0.001</f>
        <v>99.686999999999998</v>
      </c>
      <c r="F62" s="331">
        <f>(97256)*0.001</f>
        <v>97.256</v>
      </c>
      <c r="G62" s="332">
        <f>(101219)*0.001</f>
        <v>101.21900000000001</v>
      </c>
      <c r="H62" s="332">
        <f>(102957)*0.001</f>
        <v>102.95700000000001</v>
      </c>
      <c r="I62" s="332">
        <f>(102171)*0.001</f>
        <v>102.17100000000001</v>
      </c>
      <c r="J62" s="332">
        <f>(98659)*0.001</f>
        <v>98.659000000000006</v>
      </c>
      <c r="K62" s="344">
        <f>(101071)*0.001</f>
        <v>101.071</v>
      </c>
      <c r="L62" s="330">
        <v>431.9</v>
      </c>
      <c r="M62" s="330">
        <v>439.1</v>
      </c>
      <c r="N62" s="337">
        <v>464.4</v>
      </c>
      <c r="O62" s="340">
        <v>462.5</v>
      </c>
      <c r="P62" s="340">
        <v>479.4</v>
      </c>
      <c r="Q62" s="330">
        <v>4607.5</v>
      </c>
      <c r="R62" s="82">
        <v>4776.7</v>
      </c>
      <c r="S62" s="312">
        <v>41.5</v>
      </c>
      <c r="T62" s="312">
        <v>42.3</v>
      </c>
      <c r="U62" s="312">
        <v>41.9</v>
      </c>
      <c r="V62" s="82">
        <v>42.4</v>
      </c>
      <c r="W62" s="312">
        <v>981.4</v>
      </c>
      <c r="X62" s="312">
        <v>42.5</v>
      </c>
      <c r="Y62" s="312">
        <v>42.1</v>
      </c>
      <c r="Z62" s="82">
        <v>42.5</v>
      </c>
      <c r="AA62" s="312">
        <v>41.9</v>
      </c>
      <c r="AB62" s="312">
        <v>42.4</v>
      </c>
      <c r="AC62" s="312">
        <v>41.8</v>
      </c>
      <c r="AD62" s="82">
        <v>42.3</v>
      </c>
      <c r="AE62" s="312">
        <v>41.9</v>
      </c>
      <c r="AF62" s="312">
        <v>34.799999999999997</v>
      </c>
      <c r="AG62" s="315">
        <v>35.1</v>
      </c>
      <c r="AH62" s="82">
        <v>34.799999999999997</v>
      </c>
      <c r="AI62" s="312">
        <v>63.1</v>
      </c>
      <c r="AJ62" s="312">
        <v>48.9</v>
      </c>
      <c r="AK62" s="315">
        <v>41.1</v>
      </c>
      <c r="AL62" s="82">
        <v>38.700000000000003</v>
      </c>
      <c r="AM62" s="312">
        <v>38.6</v>
      </c>
      <c r="AN62" s="315">
        <v>38.6</v>
      </c>
      <c r="AO62" s="315"/>
      <c r="AP62" s="82"/>
    </row>
    <row r="63" spans="1:42" s="10" customFormat="1" ht="20.100000000000001" customHeight="1">
      <c r="A63" s="33" t="s">
        <v>227</v>
      </c>
      <c r="B63" s="156" t="s">
        <v>214</v>
      </c>
      <c r="C63" s="48">
        <f>0.237</f>
        <v>0.23699999999999999</v>
      </c>
      <c r="D63" s="48">
        <f>(243)*0.001</f>
        <v>0.24299999999999999</v>
      </c>
      <c r="E63" s="48">
        <f>(234)*0.001</f>
        <v>0.23400000000000001</v>
      </c>
      <c r="F63" s="331">
        <f>(233)*0.001</f>
        <v>0.23300000000000001</v>
      </c>
      <c r="G63" s="332">
        <f>(238)*0.001</f>
        <v>0.23800000000000002</v>
      </c>
      <c r="H63" s="332">
        <f>(247)*0.001</f>
        <v>0.247</v>
      </c>
      <c r="I63" s="332">
        <f>(240)*0.001</f>
        <v>0.24</v>
      </c>
      <c r="J63" s="332">
        <f>(236)*0.001</f>
        <v>0.23600000000000002</v>
      </c>
      <c r="K63" s="344">
        <f>(237)*0.001</f>
        <v>0.23700000000000002</v>
      </c>
      <c r="L63" s="330">
        <v>5.3</v>
      </c>
      <c r="M63" s="330">
        <v>5.8</v>
      </c>
      <c r="N63" s="337">
        <v>6.8</v>
      </c>
      <c r="O63" s="340">
        <v>2.7</v>
      </c>
      <c r="P63" s="340">
        <v>3.7</v>
      </c>
      <c r="Q63" s="330">
        <v>4.3</v>
      </c>
      <c r="R63" s="82">
        <v>4.3</v>
      </c>
      <c r="S63" s="312">
        <v>4.5</v>
      </c>
      <c r="T63" s="312">
        <v>4.9000000000000004</v>
      </c>
      <c r="U63" s="312">
        <v>4.9000000000000004</v>
      </c>
      <c r="V63" s="82">
        <v>5</v>
      </c>
      <c r="W63" s="312">
        <v>5.2</v>
      </c>
      <c r="X63" s="312">
        <v>7.6</v>
      </c>
      <c r="Y63" s="312">
        <v>7</v>
      </c>
      <c r="Z63" s="82">
        <v>9.6999999999999993</v>
      </c>
      <c r="AA63" s="312">
        <v>10.4</v>
      </c>
      <c r="AB63" s="312">
        <v>9.6999999999999993</v>
      </c>
      <c r="AC63" s="312">
        <v>10.7</v>
      </c>
      <c r="AD63" s="82">
        <v>8.1999999999999993</v>
      </c>
      <c r="AE63" s="312">
        <v>411.5</v>
      </c>
      <c r="AF63" s="312">
        <v>411.1</v>
      </c>
      <c r="AG63" s="315">
        <v>411.4</v>
      </c>
      <c r="AH63" s="82">
        <v>413.5</v>
      </c>
      <c r="AI63" s="312">
        <v>430.3</v>
      </c>
      <c r="AJ63" s="312">
        <v>418.8</v>
      </c>
      <c r="AK63" s="315">
        <v>420</v>
      </c>
      <c r="AL63" s="82">
        <v>432.5</v>
      </c>
      <c r="AM63" s="312">
        <v>198.7</v>
      </c>
      <c r="AN63" s="315">
        <v>201.5</v>
      </c>
      <c r="AO63" s="315"/>
      <c r="AP63" s="82"/>
    </row>
    <row r="64" spans="1:42" s="10" customFormat="1" ht="20.100000000000001" customHeight="1">
      <c r="A64" s="33" t="s">
        <v>215</v>
      </c>
      <c r="B64" s="154" t="s">
        <v>216</v>
      </c>
      <c r="C64" s="24">
        <v>0</v>
      </c>
      <c r="D64" s="24">
        <v>0</v>
      </c>
      <c r="E64" s="24">
        <v>0</v>
      </c>
      <c r="F64" s="348">
        <v>0</v>
      </c>
      <c r="G64" s="349">
        <v>0</v>
      </c>
      <c r="H64" s="349">
        <v>0</v>
      </c>
      <c r="I64" s="349">
        <v>0</v>
      </c>
      <c r="J64" s="349">
        <v>0</v>
      </c>
      <c r="K64" s="350">
        <v>0</v>
      </c>
      <c r="L64" s="330">
        <v>115.8</v>
      </c>
      <c r="M64" s="330">
        <v>113.9</v>
      </c>
      <c r="N64" s="337">
        <v>117.1</v>
      </c>
      <c r="O64" s="340">
        <v>113</v>
      </c>
      <c r="P64" s="340">
        <v>116.7</v>
      </c>
      <c r="Q64" s="330">
        <v>115.6</v>
      </c>
      <c r="R64" s="82">
        <v>117</v>
      </c>
      <c r="S64" s="312">
        <v>118</v>
      </c>
      <c r="T64" s="312">
        <v>123.1</v>
      </c>
      <c r="U64" s="312">
        <v>117.7</v>
      </c>
      <c r="V64" s="82">
        <v>121.5</v>
      </c>
      <c r="W64" s="312">
        <v>116.6</v>
      </c>
      <c r="X64" s="312">
        <v>117.6</v>
      </c>
      <c r="Y64" s="312">
        <v>117.6</v>
      </c>
      <c r="Z64" s="82">
        <v>114.5</v>
      </c>
      <c r="AA64" s="312">
        <v>116.3</v>
      </c>
      <c r="AB64" s="312">
        <v>121.3</v>
      </c>
      <c r="AC64" s="312">
        <v>116.6</v>
      </c>
      <c r="AD64" s="82">
        <v>118.1</v>
      </c>
      <c r="AE64" s="312">
        <v>118.9</v>
      </c>
      <c r="AF64" s="312">
        <v>118.3</v>
      </c>
      <c r="AG64" s="315">
        <v>119.3</v>
      </c>
      <c r="AH64" s="82">
        <v>116.9</v>
      </c>
      <c r="AI64" s="312">
        <v>125.8</v>
      </c>
      <c r="AJ64" s="312">
        <v>124.2</v>
      </c>
      <c r="AK64" s="315">
        <v>123.5</v>
      </c>
      <c r="AL64" s="82">
        <v>126.7</v>
      </c>
      <c r="AM64" s="312">
        <v>128.80000000000001</v>
      </c>
      <c r="AN64" s="315">
        <v>125.8</v>
      </c>
      <c r="AO64" s="315"/>
      <c r="AP64" s="82"/>
    </row>
    <row r="65" spans="1:42" s="10" customFormat="1" ht="20.100000000000001" customHeight="1">
      <c r="A65" s="33" t="s">
        <v>228</v>
      </c>
      <c r="B65" s="154" t="s">
        <v>229</v>
      </c>
      <c r="C65" s="24"/>
      <c r="D65" s="24"/>
      <c r="E65" s="24"/>
      <c r="F65" s="348"/>
      <c r="G65" s="349"/>
      <c r="H65" s="349"/>
      <c r="I65" s="349"/>
      <c r="J65" s="349"/>
      <c r="K65" s="350"/>
      <c r="L65" s="330"/>
      <c r="M65" s="330"/>
      <c r="N65" s="337"/>
      <c r="O65" s="340"/>
      <c r="P65" s="340"/>
      <c r="Q65" s="330"/>
      <c r="R65" s="82"/>
      <c r="S65" s="312"/>
      <c r="T65" s="312"/>
      <c r="U65" s="312"/>
      <c r="V65" s="82"/>
      <c r="W65" s="312"/>
      <c r="X65" s="312"/>
      <c r="Y65" s="312"/>
      <c r="Z65" s="82"/>
      <c r="AA65" s="315">
        <v>359</v>
      </c>
      <c r="AB65" s="312">
        <v>649.1</v>
      </c>
      <c r="AC65" s="312">
        <v>643.5</v>
      </c>
      <c r="AD65" s="82">
        <v>705.2</v>
      </c>
      <c r="AE65" s="315">
        <v>722.6</v>
      </c>
      <c r="AF65" s="312">
        <v>712.2</v>
      </c>
      <c r="AG65" s="315">
        <v>729.6</v>
      </c>
      <c r="AH65" s="82">
        <v>713.1</v>
      </c>
      <c r="AI65" s="315">
        <v>725.1</v>
      </c>
      <c r="AJ65" s="312">
        <v>686.4</v>
      </c>
      <c r="AK65" s="315">
        <v>671.7</v>
      </c>
      <c r="AL65" s="82">
        <v>675.6</v>
      </c>
      <c r="AM65" s="315">
        <v>663.1</v>
      </c>
      <c r="AN65" s="315">
        <v>646.70000000000005</v>
      </c>
      <c r="AO65" s="315"/>
      <c r="AP65" s="82"/>
    </row>
    <row r="66" spans="1:42" s="10" customFormat="1" ht="20.100000000000001" customHeight="1">
      <c r="A66" s="33" t="s">
        <v>230</v>
      </c>
      <c r="B66" s="154" t="s">
        <v>231</v>
      </c>
      <c r="C66" s="48">
        <f>435.427</f>
        <v>435.42700000000002</v>
      </c>
      <c r="D66" s="48">
        <f>(436188)*0.001</f>
        <v>436.18799999999999</v>
      </c>
      <c r="E66" s="48">
        <f>(441676)*0.001</f>
        <v>441.67599999999999</v>
      </c>
      <c r="F66" s="331">
        <f>(472094)*0.001</f>
        <v>472.09399999999999</v>
      </c>
      <c r="G66" s="332">
        <f>(432897)*0.001</f>
        <v>432.89699999999999</v>
      </c>
      <c r="H66" s="332">
        <f>(428004)*0.001</f>
        <v>428.00400000000002</v>
      </c>
      <c r="I66" s="332">
        <f>(390829)*0.001</f>
        <v>390.82900000000001</v>
      </c>
      <c r="J66" s="332">
        <f>(413210)*0.001</f>
        <v>413.21000000000004</v>
      </c>
      <c r="K66" s="344">
        <f>(418100)*0.001</f>
        <v>418.1</v>
      </c>
      <c r="L66" s="327">
        <v>1618.8</v>
      </c>
      <c r="M66" s="327">
        <v>1505.3</v>
      </c>
      <c r="N66" s="329">
        <v>1523</v>
      </c>
      <c r="O66" s="328">
        <v>1333.5</v>
      </c>
      <c r="P66" s="328">
        <v>1670.4</v>
      </c>
      <c r="Q66" s="327">
        <v>1431.5</v>
      </c>
      <c r="R66" s="82">
        <v>1485.4</v>
      </c>
      <c r="S66" s="315">
        <v>1711.4</v>
      </c>
      <c r="T66" s="315">
        <v>1365.9</v>
      </c>
      <c r="U66" s="315">
        <v>1338.1</v>
      </c>
      <c r="V66" s="82">
        <v>1569.5</v>
      </c>
      <c r="W66" s="315">
        <v>1337.9</v>
      </c>
      <c r="X66" s="315">
        <v>1694.4</v>
      </c>
      <c r="Y66" s="315">
        <v>1397.9</v>
      </c>
      <c r="Z66" s="82">
        <v>1727.3</v>
      </c>
      <c r="AA66" s="312">
        <v>1430.8</v>
      </c>
      <c r="AB66" s="315">
        <v>2254.9</v>
      </c>
      <c r="AC66" s="312">
        <v>2302.6999999999998</v>
      </c>
      <c r="AD66" s="82">
        <v>2382.4</v>
      </c>
      <c r="AE66" s="312">
        <v>2029.1</v>
      </c>
      <c r="AF66" s="315">
        <v>2691.7</v>
      </c>
      <c r="AG66" s="315">
        <v>2392.3000000000002</v>
      </c>
      <c r="AH66" s="82">
        <v>2420.8000000000002</v>
      </c>
      <c r="AI66" s="312">
        <v>2190</v>
      </c>
      <c r="AJ66" s="315">
        <v>2119.1999999999998</v>
      </c>
      <c r="AK66" s="315">
        <v>2744</v>
      </c>
      <c r="AL66" s="82">
        <v>2155.3000000000002</v>
      </c>
      <c r="AM66" s="312">
        <v>1855.9</v>
      </c>
      <c r="AN66" s="315">
        <v>1742.5</v>
      </c>
      <c r="AO66" s="315"/>
      <c r="AP66" s="82"/>
    </row>
    <row r="67" spans="1:42" s="19" customFormat="1" ht="20.100000000000001" customHeight="1">
      <c r="A67" s="35" t="s">
        <v>223</v>
      </c>
      <c r="B67" s="159" t="s">
        <v>224</v>
      </c>
      <c r="C67" s="28">
        <v>0</v>
      </c>
      <c r="D67" s="28">
        <v>0</v>
      </c>
      <c r="E67" s="28">
        <v>0</v>
      </c>
      <c r="F67" s="310">
        <v>0</v>
      </c>
      <c r="G67" s="81">
        <v>0</v>
      </c>
      <c r="H67" s="81">
        <v>0</v>
      </c>
      <c r="I67" s="81">
        <v>0</v>
      </c>
      <c r="J67" s="345">
        <v>12</v>
      </c>
      <c r="K67" s="351">
        <v>0</v>
      </c>
      <c r="L67" s="81">
        <v>0</v>
      </c>
      <c r="M67" s="81">
        <v>0</v>
      </c>
      <c r="N67" s="345">
        <v>87</v>
      </c>
      <c r="O67" s="346">
        <v>99.7</v>
      </c>
      <c r="P67" s="346">
        <v>79</v>
      </c>
      <c r="Q67" s="352">
        <v>57.1</v>
      </c>
      <c r="R67" s="316">
        <v>72.900000000000006</v>
      </c>
      <c r="S67" s="287">
        <v>25.8</v>
      </c>
      <c r="T67" s="287">
        <v>3.5</v>
      </c>
      <c r="U67" s="287">
        <v>1.8</v>
      </c>
      <c r="V67" s="316">
        <v>0</v>
      </c>
      <c r="W67" s="287">
        <v>1.5</v>
      </c>
      <c r="X67" s="287">
        <v>0.6</v>
      </c>
      <c r="Y67" s="287">
        <v>0.5</v>
      </c>
      <c r="Z67" s="316">
        <v>3.6</v>
      </c>
      <c r="AA67" s="287">
        <v>2.8</v>
      </c>
      <c r="AB67" s="287">
        <v>4.2</v>
      </c>
      <c r="AC67" s="312">
        <v>5.5</v>
      </c>
      <c r="AD67" s="316">
        <v>8.8000000000000007</v>
      </c>
      <c r="AE67" s="287">
        <v>9.1</v>
      </c>
      <c r="AF67" s="287">
        <v>9</v>
      </c>
      <c r="AG67" s="288">
        <v>7.5</v>
      </c>
      <c r="AH67" s="82">
        <v>8.3000000000000007</v>
      </c>
      <c r="AI67" s="287">
        <v>37.799999999999997</v>
      </c>
      <c r="AJ67" s="287">
        <v>51.1</v>
      </c>
      <c r="AK67" s="288">
        <v>45.1</v>
      </c>
      <c r="AL67" s="316">
        <v>39.200000000000003</v>
      </c>
      <c r="AM67" s="287">
        <v>31.3</v>
      </c>
      <c r="AN67" s="288">
        <v>24.4</v>
      </c>
      <c r="AO67" s="288"/>
      <c r="AP67" s="316"/>
    </row>
    <row r="68" spans="1:42" s="19" customFormat="1" ht="25.5">
      <c r="A68" s="238" t="s">
        <v>506</v>
      </c>
      <c r="B68" s="281" t="s">
        <v>507</v>
      </c>
      <c r="C68" s="28"/>
      <c r="D68" s="28"/>
      <c r="E68" s="28"/>
      <c r="F68" s="310"/>
      <c r="G68" s="81"/>
      <c r="H68" s="81"/>
      <c r="I68" s="81"/>
      <c r="J68" s="346"/>
      <c r="K68" s="351"/>
      <c r="L68" s="81"/>
      <c r="M68" s="81"/>
      <c r="N68" s="345"/>
      <c r="O68" s="346"/>
      <c r="P68" s="346"/>
      <c r="Q68" s="352"/>
      <c r="R68" s="316"/>
      <c r="S68" s="287"/>
      <c r="T68" s="287"/>
      <c r="U68" s="287"/>
      <c r="V68" s="316"/>
      <c r="W68" s="287"/>
      <c r="X68" s="287"/>
      <c r="Y68" s="287"/>
      <c r="Z68" s="316"/>
      <c r="AA68" s="287"/>
      <c r="AB68" s="287"/>
      <c r="AC68" s="312"/>
      <c r="AD68" s="316"/>
      <c r="AE68" s="287"/>
      <c r="AF68" s="287"/>
      <c r="AG68" s="288"/>
      <c r="AH68" s="82"/>
      <c r="AI68" s="287"/>
      <c r="AJ68" s="287"/>
      <c r="AK68" s="288"/>
      <c r="AL68" s="82">
        <v>415.7</v>
      </c>
      <c r="AM68" s="287">
        <v>0</v>
      </c>
      <c r="AN68" s="315">
        <v>767.5</v>
      </c>
      <c r="AO68" s="288"/>
      <c r="AP68" s="82"/>
    </row>
    <row r="69" spans="1:42" s="19" customFormat="1" ht="20.100000000000001" customHeight="1">
      <c r="A69" s="33" t="s">
        <v>232</v>
      </c>
      <c r="B69" s="154" t="s">
        <v>233</v>
      </c>
      <c r="C69" s="28"/>
      <c r="D69" s="28"/>
      <c r="E69" s="28"/>
      <c r="F69" s="310"/>
      <c r="G69" s="81"/>
      <c r="H69" s="81"/>
      <c r="I69" s="81"/>
      <c r="J69" s="346"/>
      <c r="K69" s="351"/>
      <c r="L69" s="81"/>
      <c r="M69" s="81"/>
      <c r="N69" s="345"/>
      <c r="O69" s="346"/>
      <c r="P69" s="346"/>
      <c r="Q69" s="352"/>
      <c r="R69" s="316"/>
      <c r="S69" s="287"/>
      <c r="T69" s="287"/>
      <c r="U69" s="287"/>
      <c r="V69" s="316"/>
      <c r="W69" s="287"/>
      <c r="X69" s="287"/>
      <c r="Y69" s="287"/>
      <c r="Z69" s="316"/>
      <c r="AA69" s="287"/>
      <c r="AB69" s="287"/>
      <c r="AC69" s="312"/>
      <c r="AD69" s="316"/>
      <c r="AE69" s="287"/>
      <c r="AF69" s="287"/>
      <c r="AG69" s="288"/>
      <c r="AH69" s="82"/>
      <c r="AI69" s="287"/>
      <c r="AJ69" s="287"/>
      <c r="AK69" s="288"/>
      <c r="AL69" s="82">
        <v>548</v>
      </c>
      <c r="AM69" s="287">
        <v>0</v>
      </c>
      <c r="AN69" s="288">
        <v>0</v>
      </c>
      <c r="AO69" s="288"/>
      <c r="AP69" s="82"/>
    </row>
    <row r="70" spans="1:42" s="10" customFormat="1" ht="20.100000000000001" customHeight="1">
      <c r="A70" s="33" t="s">
        <v>234</v>
      </c>
      <c r="B70" s="154" t="s">
        <v>235</v>
      </c>
      <c r="C70" s="48">
        <f>29.589</f>
        <v>29.588999999999999</v>
      </c>
      <c r="D70" s="48">
        <f>(7799)*0.001</f>
        <v>7.7990000000000004</v>
      </c>
      <c r="E70" s="48">
        <f>(6782)*0.001</f>
        <v>6.782</v>
      </c>
      <c r="F70" s="331">
        <f>(7092)*0.001</f>
        <v>7.0920000000000005</v>
      </c>
      <c r="G70" s="332">
        <f>(1990)*0.001</f>
        <v>1.99</v>
      </c>
      <c r="H70" s="332">
        <f>(6510)*0.001</f>
        <v>6.51</v>
      </c>
      <c r="I70" s="332">
        <f>(14152)*0.001</f>
        <v>14.152000000000001</v>
      </c>
      <c r="J70" s="332">
        <f>(4520)*0.001</f>
        <v>4.5200000000000005</v>
      </c>
      <c r="K70" s="344">
        <f>(12203)*0.001</f>
        <v>12.202999999999999</v>
      </c>
      <c r="L70" s="330">
        <v>43.7</v>
      </c>
      <c r="M70" s="330">
        <v>22.1</v>
      </c>
      <c r="N70" s="337">
        <v>48.028993427171699</v>
      </c>
      <c r="O70" s="340">
        <v>22.5</v>
      </c>
      <c r="P70" s="340">
        <v>132.69999999999999</v>
      </c>
      <c r="Q70" s="330">
        <v>96.3</v>
      </c>
      <c r="R70" s="82">
        <v>176.1</v>
      </c>
      <c r="S70" s="312">
        <v>29.2</v>
      </c>
      <c r="T70" s="312">
        <v>39.1</v>
      </c>
      <c r="U70" s="312">
        <v>21.967722325707697</v>
      </c>
      <c r="V70" s="82">
        <v>24.9</v>
      </c>
      <c r="W70" s="312">
        <v>4.3</v>
      </c>
      <c r="X70" s="312">
        <v>24.9</v>
      </c>
      <c r="Y70" s="312">
        <v>17.5</v>
      </c>
      <c r="Z70" s="82">
        <v>61.3</v>
      </c>
      <c r="AA70" s="312">
        <v>60.1</v>
      </c>
      <c r="AB70" s="312">
        <v>44.9</v>
      </c>
      <c r="AC70" s="312">
        <v>62.3</v>
      </c>
      <c r="AD70" s="82">
        <v>151.1</v>
      </c>
      <c r="AE70" s="312">
        <v>191.1</v>
      </c>
      <c r="AF70" s="312">
        <v>154.30000000000001</v>
      </c>
      <c r="AG70" s="315">
        <v>192.4</v>
      </c>
      <c r="AH70" s="82">
        <v>276.60000000000002</v>
      </c>
      <c r="AI70" s="312">
        <v>335.6</v>
      </c>
      <c r="AJ70" s="312">
        <v>126.1</v>
      </c>
      <c r="AK70" s="315">
        <v>100.2</v>
      </c>
      <c r="AL70" s="82">
        <v>128.9</v>
      </c>
      <c r="AM70" s="312">
        <v>171</v>
      </c>
      <c r="AN70" s="315">
        <v>65</v>
      </c>
      <c r="AO70" s="315"/>
      <c r="AP70" s="82"/>
    </row>
    <row r="71" spans="1:42" s="10" customFormat="1" ht="20.100000000000001" customHeight="1">
      <c r="A71" s="33" t="s">
        <v>236</v>
      </c>
      <c r="B71" s="154" t="s">
        <v>237</v>
      </c>
      <c r="C71" s="48">
        <f>12.532</f>
        <v>12.532</v>
      </c>
      <c r="D71" s="48">
        <f>(12125)*0.001</f>
        <v>12.125</v>
      </c>
      <c r="E71" s="48">
        <f>(12084)*0.001</f>
        <v>12.084</v>
      </c>
      <c r="F71" s="331">
        <f>(13259)*0.001</f>
        <v>13.259</v>
      </c>
      <c r="G71" s="332">
        <f>(13182)*0.001</f>
        <v>13.182</v>
      </c>
      <c r="H71" s="332">
        <f>(12551)*0.001</f>
        <v>12.551</v>
      </c>
      <c r="I71" s="332">
        <f>(12536)*0.001</f>
        <v>12.536</v>
      </c>
      <c r="J71" s="332">
        <f>(2727)*0.001</f>
        <v>2.7269999999999999</v>
      </c>
      <c r="K71" s="344">
        <f>(2843)*0.001</f>
        <v>2.843</v>
      </c>
      <c r="L71" s="330">
        <v>2.6</v>
      </c>
      <c r="M71" s="330">
        <v>2.7</v>
      </c>
      <c r="N71" s="337">
        <v>1.4</v>
      </c>
      <c r="O71" s="340">
        <v>1.4</v>
      </c>
      <c r="P71" s="353" t="s">
        <v>238</v>
      </c>
      <c r="Q71" s="353" t="s">
        <v>238</v>
      </c>
      <c r="R71" s="317" t="s">
        <v>238</v>
      </c>
      <c r="S71" s="318" t="s">
        <v>238</v>
      </c>
      <c r="T71" s="318" t="s">
        <v>238</v>
      </c>
      <c r="U71" s="318" t="s">
        <v>238</v>
      </c>
      <c r="V71" s="317" t="s">
        <v>238</v>
      </c>
      <c r="W71" s="318" t="s">
        <v>238</v>
      </c>
      <c r="X71" s="318" t="s">
        <v>238</v>
      </c>
      <c r="Y71" s="318" t="s">
        <v>238</v>
      </c>
      <c r="Z71" s="317" t="s">
        <v>238</v>
      </c>
      <c r="AA71" s="318" t="s">
        <v>238</v>
      </c>
      <c r="AB71" s="318" t="s">
        <v>238</v>
      </c>
      <c r="AC71" s="318" t="s">
        <v>238</v>
      </c>
      <c r="AD71" s="317" t="s">
        <v>238</v>
      </c>
      <c r="AE71" s="318" t="s">
        <v>238</v>
      </c>
      <c r="AF71" s="318" t="s">
        <v>238</v>
      </c>
      <c r="AG71" s="318" t="s">
        <v>238</v>
      </c>
      <c r="AH71" s="317" t="s">
        <v>238</v>
      </c>
      <c r="AI71" s="318" t="s">
        <v>238</v>
      </c>
      <c r="AJ71" s="318" t="s">
        <v>238</v>
      </c>
      <c r="AK71" s="318" t="s">
        <v>238</v>
      </c>
      <c r="AL71" s="317" t="s">
        <v>238</v>
      </c>
      <c r="AM71" s="318" t="s">
        <v>238</v>
      </c>
      <c r="AN71" s="318" t="s">
        <v>238</v>
      </c>
      <c r="AO71" s="318"/>
      <c r="AP71" s="317"/>
    </row>
    <row r="72" spans="1:42" s="10" customFormat="1" ht="20.100000000000001" customHeight="1" thickBot="1">
      <c r="A72" s="33" t="s">
        <v>219</v>
      </c>
      <c r="B72" s="154" t="s">
        <v>220</v>
      </c>
      <c r="C72" s="48">
        <f>188.402</f>
        <v>188.40199999999999</v>
      </c>
      <c r="D72" s="48">
        <f>(209950)*0.001</f>
        <v>209.95000000000002</v>
      </c>
      <c r="E72" s="48">
        <f>(210563)*0.001</f>
        <v>210.56300000000002</v>
      </c>
      <c r="F72" s="331">
        <f>(201238)*0.001</f>
        <v>201.238</v>
      </c>
      <c r="G72" s="332">
        <f>(207890)*0.001</f>
        <v>207.89000000000001</v>
      </c>
      <c r="H72" s="332">
        <f>(204442)*0.001</f>
        <v>204.44200000000001</v>
      </c>
      <c r="I72" s="332">
        <f>(210688)*0.001</f>
        <v>210.68800000000002</v>
      </c>
      <c r="J72" s="332">
        <f>(209485)*0.001</f>
        <v>209.48500000000001</v>
      </c>
      <c r="K72" s="344">
        <f>(228170)*0.001</f>
        <v>228.17000000000002</v>
      </c>
      <c r="L72" s="330">
        <v>678</v>
      </c>
      <c r="M72" s="330">
        <v>672.7</v>
      </c>
      <c r="N72" s="337">
        <v>683.9</v>
      </c>
      <c r="O72" s="340">
        <v>670.3</v>
      </c>
      <c r="P72" s="340">
        <v>672</v>
      </c>
      <c r="Q72" s="330">
        <v>680.9</v>
      </c>
      <c r="R72" s="82">
        <v>676.1</v>
      </c>
      <c r="S72" s="312">
        <v>665</v>
      </c>
      <c r="T72" s="312">
        <v>676.8</v>
      </c>
      <c r="U72" s="312">
        <v>660.84343092999995</v>
      </c>
      <c r="V72" s="82">
        <v>647.9</v>
      </c>
      <c r="W72" s="312">
        <v>633.79999999999995</v>
      </c>
      <c r="X72" s="312">
        <v>637.29999999999995</v>
      </c>
      <c r="Y72" s="312">
        <v>629.5</v>
      </c>
      <c r="Z72" s="82">
        <v>618.29999999999995</v>
      </c>
      <c r="AA72" s="312">
        <v>356</v>
      </c>
      <c r="AB72" s="312">
        <v>39.799999999999997</v>
      </c>
      <c r="AC72" s="312">
        <v>65</v>
      </c>
      <c r="AD72" s="82">
        <v>0</v>
      </c>
      <c r="AE72" s="312">
        <v>0</v>
      </c>
      <c r="AF72" s="312">
        <v>0</v>
      </c>
      <c r="AG72" s="312">
        <v>0</v>
      </c>
      <c r="AH72" s="82">
        <v>0</v>
      </c>
      <c r="AI72" s="312">
        <v>0</v>
      </c>
      <c r="AJ72" s="312">
        <v>0</v>
      </c>
      <c r="AK72" s="312">
        <v>0</v>
      </c>
      <c r="AL72" s="82">
        <v>0</v>
      </c>
      <c r="AM72" s="312">
        <v>0</v>
      </c>
      <c r="AN72" s="312">
        <v>0</v>
      </c>
      <c r="AO72" s="312"/>
      <c r="AP72" s="82"/>
    </row>
    <row r="73" spans="1:42" s="321" customFormat="1" ht="24.95" customHeight="1" thickBot="1">
      <c r="A73" s="551" t="s">
        <v>239</v>
      </c>
      <c r="B73" s="555" t="s">
        <v>240</v>
      </c>
      <c r="C73" s="552">
        <f t="shared" ref="C73:M73" si="54">SUM(C61:C72)</f>
        <v>1017.386</v>
      </c>
      <c r="D73" s="553">
        <f t="shared" si="54"/>
        <v>1033.443</v>
      </c>
      <c r="E73" s="553">
        <f t="shared" si="54"/>
        <v>1009.7019999999999</v>
      </c>
      <c r="F73" s="554">
        <f t="shared" si="54"/>
        <v>1066.78</v>
      </c>
      <c r="G73" s="553">
        <f t="shared" si="54"/>
        <v>1007.745</v>
      </c>
      <c r="H73" s="553">
        <f t="shared" si="54"/>
        <v>1018.1</v>
      </c>
      <c r="I73" s="553">
        <f t="shared" si="54"/>
        <v>945.28899999999999</v>
      </c>
      <c r="J73" s="554">
        <f t="shared" si="54"/>
        <v>986.83100000000002</v>
      </c>
      <c r="K73" s="552">
        <f t="shared" si="54"/>
        <v>1003.5449999999998</v>
      </c>
      <c r="L73" s="553">
        <f t="shared" si="54"/>
        <v>3990.3999999999992</v>
      </c>
      <c r="M73" s="553">
        <f t="shared" si="54"/>
        <v>4126.7</v>
      </c>
      <c r="N73" s="554">
        <f t="shared" ref="N73:U73" si="55">SUM(N61:N72)-N67</f>
        <v>4167.2289934271712</v>
      </c>
      <c r="O73" s="552">
        <f t="shared" si="55"/>
        <v>4149.8</v>
      </c>
      <c r="P73" s="553">
        <f t="shared" si="55"/>
        <v>4244.8</v>
      </c>
      <c r="Q73" s="553">
        <f t="shared" si="55"/>
        <v>7899.8</v>
      </c>
      <c r="R73" s="554">
        <f t="shared" si="55"/>
        <v>8466.5000000000018</v>
      </c>
      <c r="S73" s="552">
        <f t="shared" si="55"/>
        <v>4162.5999999999995</v>
      </c>
      <c r="T73" s="553">
        <f t="shared" si="55"/>
        <v>3503.3999999999996</v>
      </c>
      <c r="U73" s="553">
        <f t="shared" si="55"/>
        <v>3454.8111532557077</v>
      </c>
      <c r="V73" s="554">
        <f t="shared" ref="V73" si="56">SUM(V61:V72)-V67</f>
        <v>3681.2000000000003</v>
      </c>
      <c r="W73" s="552">
        <f t="shared" ref="W73:X73" si="57">SUM(W61:W72)-W67</f>
        <v>4366</v>
      </c>
      <c r="X73" s="553">
        <f t="shared" si="57"/>
        <v>4330.2</v>
      </c>
      <c r="Y73" s="553">
        <f t="shared" ref="Y73:Z73" si="58">SUM(Y61:Y72)-Y67</f>
        <v>4036.3999999999996</v>
      </c>
      <c r="Z73" s="554">
        <f t="shared" si="58"/>
        <v>3915.5000000000005</v>
      </c>
      <c r="AA73" s="552">
        <f t="shared" ref="AA73:AH73" si="59">SUM(AA61:AA72)-AA67</f>
        <v>2927.4</v>
      </c>
      <c r="AB73" s="553">
        <f t="shared" si="59"/>
        <v>4236.8</v>
      </c>
      <c r="AC73" s="553">
        <f t="shared" si="59"/>
        <v>4611.5</v>
      </c>
      <c r="AD73" s="554">
        <f t="shared" si="59"/>
        <v>5018.6000000000004</v>
      </c>
      <c r="AE73" s="552">
        <f t="shared" si="59"/>
        <v>4813.3000000000011</v>
      </c>
      <c r="AF73" s="553">
        <f t="shared" si="59"/>
        <v>5401.4000000000005</v>
      </c>
      <c r="AG73" s="553">
        <f t="shared" si="59"/>
        <v>5628.6</v>
      </c>
      <c r="AH73" s="554">
        <f t="shared" si="59"/>
        <v>5868.2000000000007</v>
      </c>
      <c r="AI73" s="552">
        <f t="shared" ref="AI73:AK73" si="60">SUM(AI61:AI72)-AI67</f>
        <v>5111.5</v>
      </c>
      <c r="AJ73" s="553">
        <f t="shared" si="60"/>
        <v>3888.2</v>
      </c>
      <c r="AK73" s="553">
        <f t="shared" si="60"/>
        <v>4658</v>
      </c>
      <c r="AL73" s="554">
        <f>SUM(AL61:AL72)-AL67</f>
        <v>5274.4</v>
      </c>
      <c r="AM73" s="552">
        <f t="shared" ref="AM73:AO73" si="61">SUM(AM61:AM72)-AM67</f>
        <v>4003.5</v>
      </c>
      <c r="AN73" s="553">
        <f t="shared" si="61"/>
        <v>4641</v>
      </c>
      <c r="AO73" s="553">
        <f t="shared" si="61"/>
        <v>0</v>
      </c>
      <c r="AP73" s="554">
        <f>SUM(AP61:AP72)-AP67</f>
        <v>0</v>
      </c>
    </row>
    <row r="74" spans="1:42" s="10" customFormat="1" ht="20.100000000000001" customHeight="1">
      <c r="A74" s="320" t="s">
        <v>241</v>
      </c>
      <c r="B74" s="303" t="s">
        <v>503</v>
      </c>
      <c r="C74" s="48"/>
      <c r="D74" s="48"/>
      <c r="E74" s="48"/>
      <c r="F74" s="331"/>
      <c r="G74" s="332"/>
      <c r="H74" s="332"/>
      <c r="I74" s="332"/>
      <c r="J74" s="332"/>
      <c r="K74" s="344"/>
      <c r="L74" s="330"/>
      <c r="M74" s="330"/>
      <c r="N74" s="337"/>
      <c r="O74" s="340"/>
      <c r="P74" s="353"/>
      <c r="Q74" s="353"/>
      <c r="R74" s="317"/>
      <c r="S74" s="318"/>
      <c r="T74" s="318"/>
      <c r="U74" s="318"/>
      <c r="V74" s="317"/>
      <c r="W74" s="318"/>
      <c r="X74" s="318"/>
      <c r="Y74" s="318"/>
      <c r="Z74" s="317"/>
      <c r="AA74" s="318"/>
      <c r="AB74" s="318"/>
      <c r="AC74" s="318"/>
      <c r="AD74" s="317"/>
      <c r="AE74" s="318"/>
      <c r="AF74" s="318"/>
      <c r="AG74" s="318"/>
      <c r="AH74" s="317"/>
      <c r="AI74" s="318"/>
      <c r="AJ74" s="318"/>
      <c r="AK74" s="318"/>
      <c r="AL74" s="317"/>
      <c r="AM74" s="312">
        <v>1284.2</v>
      </c>
      <c r="AN74" s="312">
        <v>1223.8</v>
      </c>
      <c r="AO74" s="318"/>
      <c r="AP74" s="317"/>
    </row>
    <row r="75" spans="1:42" s="10" customFormat="1" ht="20.100000000000001" customHeight="1" thickBot="1">
      <c r="A75" s="545" t="s">
        <v>242</v>
      </c>
      <c r="B75" s="546" t="s">
        <v>504</v>
      </c>
      <c r="C75" s="48"/>
      <c r="D75" s="48"/>
      <c r="E75" s="48"/>
      <c r="F75" s="331"/>
      <c r="G75" s="332"/>
      <c r="H75" s="332"/>
      <c r="I75" s="332"/>
      <c r="J75" s="332"/>
      <c r="K75" s="344"/>
      <c r="L75" s="330"/>
      <c r="M75" s="330"/>
      <c r="N75" s="337"/>
      <c r="O75" s="340"/>
      <c r="P75" s="353"/>
      <c r="Q75" s="353"/>
      <c r="R75" s="317"/>
      <c r="S75" s="318"/>
      <c r="T75" s="318"/>
      <c r="U75" s="318"/>
      <c r="V75" s="317"/>
      <c r="W75" s="318"/>
      <c r="X75" s="318"/>
      <c r="Y75" s="318"/>
      <c r="Z75" s="317"/>
      <c r="AA75" s="318"/>
      <c r="AB75" s="318"/>
      <c r="AC75" s="318"/>
      <c r="AD75" s="317"/>
      <c r="AE75" s="318"/>
      <c r="AF75" s="318"/>
      <c r="AG75" s="318"/>
      <c r="AH75" s="317"/>
      <c r="AI75" s="318"/>
      <c r="AJ75" s="318"/>
      <c r="AK75" s="318"/>
      <c r="AL75" s="317"/>
      <c r="AM75" s="287">
        <v>803.1</v>
      </c>
      <c r="AN75" s="287">
        <v>769.4</v>
      </c>
      <c r="AO75" s="318"/>
      <c r="AP75" s="317"/>
    </row>
    <row r="76" spans="1:42" s="321" customFormat="1" ht="24.95" customHeight="1" thickBot="1">
      <c r="A76" s="551" t="s">
        <v>243</v>
      </c>
      <c r="B76" s="555" t="s">
        <v>244</v>
      </c>
      <c r="C76" s="552">
        <f>C60+C73</f>
        <v>3411.9869999999996</v>
      </c>
      <c r="D76" s="553">
        <f>D60+D73</f>
        <v>3405.5320000000002</v>
      </c>
      <c r="E76" s="553">
        <f>E60+E73</f>
        <v>3159.9589999999994</v>
      </c>
      <c r="F76" s="554">
        <f t="shared" ref="F76:U76" si="62">F73+F60</f>
        <v>3092.942</v>
      </c>
      <c r="G76" s="553">
        <f t="shared" si="62"/>
        <v>3067.306</v>
      </c>
      <c r="H76" s="553">
        <f t="shared" si="62"/>
        <v>2945.4119999999998</v>
      </c>
      <c r="I76" s="553">
        <f t="shared" si="62"/>
        <v>2772.4030000000002</v>
      </c>
      <c r="J76" s="554">
        <f t="shared" si="62"/>
        <v>2687.0169999999998</v>
      </c>
      <c r="K76" s="552">
        <f t="shared" si="62"/>
        <v>2742.8450000000003</v>
      </c>
      <c r="L76" s="553">
        <f t="shared" si="62"/>
        <v>18735.399999999998</v>
      </c>
      <c r="M76" s="553">
        <f t="shared" si="62"/>
        <v>18350.5</v>
      </c>
      <c r="N76" s="554">
        <f t="shared" si="62"/>
        <v>18260.528993427175</v>
      </c>
      <c r="O76" s="552">
        <f t="shared" si="62"/>
        <v>17777</v>
      </c>
      <c r="P76" s="553">
        <f t="shared" si="62"/>
        <v>17584</v>
      </c>
      <c r="Q76" s="553">
        <f t="shared" si="62"/>
        <v>16083.5</v>
      </c>
      <c r="R76" s="554">
        <f t="shared" si="62"/>
        <v>16240.000000000002</v>
      </c>
      <c r="S76" s="552">
        <f t="shared" si="62"/>
        <v>17950.3</v>
      </c>
      <c r="T76" s="553">
        <f t="shared" si="62"/>
        <v>16819.5</v>
      </c>
      <c r="U76" s="553">
        <f t="shared" si="62"/>
        <v>16459.611153255708</v>
      </c>
      <c r="V76" s="554">
        <f t="shared" ref="V76:W76" si="63">V73+V60</f>
        <v>16351.700000000003</v>
      </c>
      <c r="W76" s="552">
        <f t="shared" si="63"/>
        <v>15904.9</v>
      </c>
      <c r="X76" s="553">
        <f t="shared" ref="X76:Y76" si="64">X73+X60</f>
        <v>15592.399999999998</v>
      </c>
      <c r="Y76" s="553">
        <f t="shared" si="64"/>
        <v>14932.699999999999</v>
      </c>
      <c r="Z76" s="554">
        <f t="shared" ref="Z76" si="65">Z73+Z60</f>
        <v>15639.2</v>
      </c>
      <c r="AA76" s="552">
        <f t="shared" ref="AA76:AH76" si="66">AA73+AA60</f>
        <v>14989.4</v>
      </c>
      <c r="AB76" s="553">
        <f t="shared" si="66"/>
        <v>16297.599999999999</v>
      </c>
      <c r="AC76" s="553">
        <f t="shared" si="66"/>
        <v>16714</v>
      </c>
      <c r="AD76" s="554">
        <f t="shared" si="66"/>
        <v>16821.599999999999</v>
      </c>
      <c r="AE76" s="552">
        <f t="shared" si="66"/>
        <v>17291.2</v>
      </c>
      <c r="AF76" s="553">
        <f t="shared" si="66"/>
        <v>17440.7</v>
      </c>
      <c r="AG76" s="553">
        <f t="shared" si="66"/>
        <v>17122.600000000002</v>
      </c>
      <c r="AH76" s="554">
        <f t="shared" si="66"/>
        <v>18125.099999999999</v>
      </c>
      <c r="AI76" s="552">
        <f t="shared" ref="AI76:AL76" si="67">AI73+AI60</f>
        <v>18018.7</v>
      </c>
      <c r="AJ76" s="553">
        <f t="shared" si="67"/>
        <v>17684.800000000003</v>
      </c>
      <c r="AK76" s="553">
        <f t="shared" si="67"/>
        <v>18170.8</v>
      </c>
      <c r="AL76" s="554">
        <f t="shared" si="67"/>
        <v>18688.800000000003</v>
      </c>
      <c r="AM76" s="552">
        <f>AM73+AM60+AM74</f>
        <v>17588.199999999997</v>
      </c>
      <c r="AN76" s="553">
        <f>AN73+AN60+AN74</f>
        <v>17959.900000000001</v>
      </c>
      <c r="AO76" s="553">
        <f t="shared" ref="AO76:AP76" si="68">AO73+AO60</f>
        <v>0</v>
      </c>
      <c r="AP76" s="554">
        <f t="shared" si="68"/>
        <v>0</v>
      </c>
    </row>
    <row r="77" spans="1:42" s="322" customFormat="1" ht="24.95" customHeight="1">
      <c r="A77" s="541" t="s">
        <v>245</v>
      </c>
      <c r="B77" s="541" t="s">
        <v>185</v>
      </c>
      <c r="C77" s="542">
        <f t="shared" ref="C77:U77" si="69">C76+C51</f>
        <v>5502.753999999999</v>
      </c>
      <c r="D77" s="543">
        <f t="shared" si="69"/>
        <v>5597.8010000000004</v>
      </c>
      <c r="E77" s="543">
        <f t="shared" si="69"/>
        <v>5514.8739999999998</v>
      </c>
      <c r="F77" s="544">
        <f t="shared" si="69"/>
        <v>5561.3450000000003</v>
      </c>
      <c r="G77" s="543">
        <f t="shared" si="69"/>
        <v>5629.4740000000002</v>
      </c>
      <c r="H77" s="543">
        <f t="shared" si="69"/>
        <v>5592.7070000000003</v>
      </c>
      <c r="I77" s="543">
        <f t="shared" si="69"/>
        <v>5597.9809999999998</v>
      </c>
      <c r="J77" s="544">
        <f t="shared" si="69"/>
        <v>5688.23</v>
      </c>
      <c r="K77" s="542">
        <f t="shared" si="69"/>
        <v>5851.1939999999995</v>
      </c>
      <c r="L77" s="543">
        <f t="shared" si="69"/>
        <v>27827.1</v>
      </c>
      <c r="M77" s="543">
        <f t="shared" si="69"/>
        <v>27481.200000000001</v>
      </c>
      <c r="N77" s="544">
        <f t="shared" si="69"/>
        <v>27338.728993427176</v>
      </c>
      <c r="O77" s="542">
        <f t="shared" si="69"/>
        <v>27088.9</v>
      </c>
      <c r="P77" s="543">
        <f t="shared" si="69"/>
        <v>27141.800000000003</v>
      </c>
      <c r="Q77" s="543">
        <f t="shared" si="69"/>
        <v>26143.5</v>
      </c>
      <c r="R77" s="544">
        <f t="shared" si="69"/>
        <v>26490.100000000002</v>
      </c>
      <c r="S77" s="542">
        <f t="shared" si="69"/>
        <v>28355.5</v>
      </c>
      <c r="T77" s="543">
        <f t="shared" si="69"/>
        <v>27581.1</v>
      </c>
      <c r="U77" s="543">
        <f t="shared" si="69"/>
        <v>27493.111153255708</v>
      </c>
      <c r="V77" s="544">
        <f t="shared" ref="V77:W77" si="70">V76+V51</f>
        <v>27729.300000000003</v>
      </c>
      <c r="W77" s="542">
        <f t="shared" si="70"/>
        <v>27553.199999999997</v>
      </c>
      <c r="X77" s="543">
        <f t="shared" ref="X77:Y77" si="71">X76+X51</f>
        <v>27317.5</v>
      </c>
      <c r="Y77" s="543">
        <f t="shared" si="71"/>
        <v>26892.6</v>
      </c>
      <c r="Z77" s="544">
        <f t="shared" ref="Z77" si="72">Z76+Z51</f>
        <v>27756</v>
      </c>
      <c r="AA77" s="542">
        <f t="shared" ref="AA77:AH77" si="73">AA76+AA51</f>
        <v>27894.400000000001</v>
      </c>
      <c r="AB77" s="543">
        <f t="shared" si="73"/>
        <v>29751.599999999999</v>
      </c>
      <c r="AC77" s="543">
        <f t="shared" si="73"/>
        <v>30395.3</v>
      </c>
      <c r="AD77" s="544">
        <f t="shared" si="73"/>
        <v>30696.799999999999</v>
      </c>
      <c r="AE77" s="542">
        <f t="shared" si="73"/>
        <v>31463.800000000003</v>
      </c>
      <c r="AF77" s="543">
        <f t="shared" si="73"/>
        <v>31359.200000000001</v>
      </c>
      <c r="AG77" s="543">
        <f t="shared" si="73"/>
        <v>31277.700000000004</v>
      </c>
      <c r="AH77" s="544">
        <f t="shared" si="73"/>
        <v>32589.599999999999</v>
      </c>
      <c r="AI77" s="542">
        <f t="shared" ref="AI77:AL77" si="74">AI76+AI51</f>
        <v>32658.700000000004</v>
      </c>
      <c r="AJ77" s="543">
        <f t="shared" si="74"/>
        <v>32622.800000000003</v>
      </c>
      <c r="AK77" s="543">
        <f t="shared" si="74"/>
        <v>32814.1</v>
      </c>
      <c r="AL77" s="544">
        <f t="shared" si="74"/>
        <v>33115</v>
      </c>
      <c r="AM77" s="542">
        <f t="shared" ref="AM77:AP77" si="75">AM76+AM51</f>
        <v>32954.5</v>
      </c>
      <c r="AN77" s="543">
        <f t="shared" si="75"/>
        <v>32922.300000000003</v>
      </c>
      <c r="AO77" s="543">
        <f t="shared" si="75"/>
        <v>0</v>
      </c>
      <c r="AP77" s="544">
        <f t="shared" si="75"/>
        <v>0</v>
      </c>
    </row>
    <row r="78" spans="1:42" s="10" customFormat="1">
      <c r="A78" s="34"/>
      <c r="B78" s="153"/>
      <c r="L78" s="11"/>
      <c r="M78" s="11"/>
      <c r="Q78" s="11"/>
      <c r="Z78" s="73"/>
      <c r="AA78" s="73"/>
      <c r="AB78" s="73"/>
      <c r="AC78" s="73"/>
      <c r="AD78" s="73"/>
      <c r="AE78" s="73"/>
      <c r="AF78" s="73"/>
      <c r="AG78" s="73"/>
      <c r="AH78" s="73"/>
      <c r="AI78" s="73"/>
      <c r="AJ78" s="73"/>
      <c r="AK78" s="73"/>
      <c r="AL78" s="73"/>
      <c r="AM78" s="73"/>
      <c r="AN78" s="73"/>
      <c r="AO78" s="73"/>
      <c r="AP78" s="73"/>
    </row>
    <row r="79" spans="1:42" s="10" customFormat="1">
      <c r="A79" s="34"/>
      <c r="B79" s="153"/>
      <c r="L79" s="11"/>
      <c r="M79" s="11"/>
      <c r="Q79" s="11"/>
      <c r="Z79" s="73"/>
      <c r="AA79" s="73"/>
      <c r="AB79" s="73"/>
      <c r="AC79" s="73"/>
      <c r="AD79" s="73"/>
      <c r="AE79" s="73"/>
      <c r="AF79" s="73"/>
      <c r="AG79" s="73"/>
      <c r="AH79" s="73"/>
      <c r="AI79" s="73"/>
      <c r="AJ79" s="73"/>
      <c r="AK79" s="73"/>
      <c r="AL79" s="73"/>
      <c r="AM79" s="73"/>
      <c r="AN79" s="73"/>
      <c r="AO79" s="73"/>
      <c r="AP79" s="73"/>
    </row>
    <row r="80" spans="1:42" s="241" customFormat="1" ht="30.75" customHeight="1">
      <c r="A80" s="246" t="s">
        <v>246</v>
      </c>
      <c r="B80" s="239" t="s">
        <v>247</v>
      </c>
      <c r="C80" s="240"/>
      <c r="D80" s="240"/>
      <c r="E80" s="240"/>
      <c r="F80" s="240"/>
      <c r="G80" s="240"/>
      <c r="H80" s="240"/>
      <c r="I80" s="240"/>
      <c r="J80" s="240"/>
      <c r="K80" s="240"/>
      <c r="L80" s="240"/>
      <c r="M80" s="240"/>
      <c r="N80" s="240"/>
      <c r="O80" s="240"/>
      <c r="P80" s="240"/>
      <c r="Q80" s="240"/>
      <c r="R80" s="240"/>
      <c r="Z80" s="319"/>
      <c r="AA80" s="319"/>
      <c r="AB80" s="319"/>
      <c r="AC80" s="319"/>
      <c r="AD80" s="319"/>
      <c r="AE80" s="319"/>
      <c r="AF80" s="319"/>
      <c r="AG80" s="319"/>
      <c r="AH80" s="319"/>
      <c r="AI80" s="319"/>
      <c r="AJ80" s="319"/>
      <c r="AK80" s="319"/>
      <c r="AL80" s="319"/>
      <c r="AM80" s="319"/>
      <c r="AN80" s="319"/>
      <c r="AO80" s="319"/>
      <c r="AP80" s="319"/>
    </row>
    <row r="81" spans="1:18" s="241" customFormat="1" ht="44.25" customHeight="1">
      <c r="A81" s="246" t="s">
        <v>248</v>
      </c>
      <c r="B81" s="239" t="s">
        <v>249</v>
      </c>
      <c r="C81" s="240"/>
      <c r="D81" s="240"/>
      <c r="E81" s="240"/>
      <c r="F81" s="240"/>
      <c r="G81" s="240"/>
      <c r="H81" s="240"/>
      <c r="I81" s="240"/>
      <c r="J81" s="240"/>
      <c r="K81" s="240"/>
      <c r="L81" s="240"/>
      <c r="M81" s="240"/>
      <c r="N81" s="240"/>
      <c r="O81" s="240"/>
      <c r="P81" s="240"/>
      <c r="Q81" s="240"/>
      <c r="R81" s="240"/>
    </row>
    <row r="82" spans="1:18" s="241" customFormat="1" ht="66.75" customHeight="1">
      <c r="A82" s="246" t="s">
        <v>250</v>
      </c>
      <c r="B82" s="242" t="s">
        <v>251</v>
      </c>
      <c r="C82" s="243"/>
      <c r="D82" s="243"/>
      <c r="E82" s="243"/>
      <c r="F82" s="243"/>
      <c r="G82" s="243"/>
      <c r="H82" s="243"/>
      <c r="I82" s="243"/>
      <c r="J82" s="243"/>
      <c r="K82" s="243"/>
      <c r="L82" s="244"/>
      <c r="M82" s="244"/>
      <c r="N82" s="243"/>
      <c r="O82" s="243"/>
      <c r="P82" s="243"/>
      <c r="Q82" s="244"/>
      <c r="R82" s="243"/>
    </row>
    <row r="83" spans="1:18" s="241" customFormat="1" ht="110.25" customHeight="1">
      <c r="A83" s="248" t="s">
        <v>252</v>
      </c>
      <c r="B83" s="247" t="s">
        <v>253</v>
      </c>
      <c r="L83" s="245"/>
      <c r="M83" s="245"/>
      <c r="Q83" s="245"/>
    </row>
    <row r="84" spans="1:18" s="10" customFormat="1">
      <c r="A84" s="8"/>
      <c r="B84" s="45"/>
      <c r="L84" s="11"/>
      <c r="M84" s="11"/>
      <c r="Q84" s="11"/>
    </row>
    <row r="85" spans="1:18" s="10" customFormat="1">
      <c r="A85" s="8"/>
      <c r="B85" s="45"/>
      <c r="L85" s="11"/>
      <c r="M85" s="11"/>
      <c r="Q85" s="11"/>
    </row>
  </sheetData>
  <customSheetViews>
    <customSheetView guid="{ED9E521F-BC9B-4E88-8A9F-5288A046401B}" showPageBreaks="1" showGridLines="0" fitToPage="1" printArea="1">
      <pane xSplit="1" ySplit="4" topLeftCell="B62" activePane="bottomRight" state="frozen"/>
      <selection pane="bottomRight" activeCell="AN51" sqref="AN51"/>
      <pageMargins left="0.70866141732283472" right="0.70866141732283472" top="0.74803149606299213" bottom="0.74803149606299213" header="0.31496062992125984" footer="0.31496062992125984"/>
      <pageSetup paperSize="9" scale="26" orientation="landscape" r:id="rId1"/>
    </customSheetView>
    <customSheetView guid="{634BFE77-A2AA-4FA6-8ED5-F02244B9F10C}" showPageBreaks="1" showGridLines="0" fitToPage="1" printArea="1" hiddenColumns="1">
      <pane xSplit="1" ySplit="4" topLeftCell="AG65" activePane="bottomRight" state="frozen"/>
      <selection pane="bottomRight" activeCell="AM77" sqref="AM77"/>
      <pageMargins left="0.70866141732283472" right="0.70866141732283472" top="0.74803149606299213" bottom="0.74803149606299213" header="0.31496062992125984" footer="0.31496062992125984"/>
      <pageSetup paperSize="9" scale="27" orientation="landscape"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80" showPageBreaks="1" showGridLines="0" fitToPage="1" printArea="1" hiddenColumns="1">
      <pane xSplit="1" ySplit="4" topLeftCell="AK70" activePane="bottomRight" state="frozen"/>
      <selection pane="bottomRight" activeCell="AN74" sqref="AN74:AN75"/>
      <pageMargins left="0.70866141732283472" right="0.70866141732283472" top="0.74803149606299213" bottom="0.74803149606299213" header="0.31496062992125984" footer="0.31496062992125984"/>
      <pageSetup paperSize="9" scale="27" orientation="landscape" r:id="rId3"/>
    </customSheetView>
    <customSheetView guid="{B87BD74C-18F3-4393-BF03-31B25889E08F}" showGridLines="0" fitToPage="1">
      <pane xSplit="1" ySplit="4" topLeftCell="AL65" activePane="bottomRight" state="frozen"/>
      <selection pane="bottomRight" activeCell="AM51" sqref="AM51"/>
      <pageMargins left="0.70866141732283472" right="0.70866141732283472" top="0.74803149606299213" bottom="0.74803149606299213" header="0.31496062992125984" footer="0.31496062992125984"/>
      <pageSetup paperSize="9" scale="10" orientation="landscape" r:id="rId4"/>
    </customSheetView>
  </customSheetViews>
  <mergeCells count="10">
    <mergeCell ref="AM2:AP2"/>
    <mergeCell ref="C2:F2"/>
    <mergeCell ref="G2:J2"/>
    <mergeCell ref="K2:N2"/>
    <mergeCell ref="O2:R2"/>
    <mergeCell ref="AI2:AL2"/>
    <mergeCell ref="AE2:AH2"/>
    <mergeCell ref="AA2:AD2"/>
    <mergeCell ref="W2:Z2"/>
    <mergeCell ref="S2:V2"/>
  </mergeCells>
  <phoneticPr fontId="8" type="noConversion"/>
  <pageMargins left="0.70866141732283472" right="0.70866141732283472" top="0.74803149606299213" bottom="0.74803149606299213" header="0.31496062992125984" footer="0.31496062992125984"/>
  <pageSetup paperSize="9" scale="26" orientation="landscape" r:id="rId5"/>
  <ignoredErrors>
    <ignoredError sqref="G33 I33 D33 AD22" formula="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U156"/>
  <sheetViews>
    <sheetView showGridLines="0" zoomScaleNormal="100" zoomScaleSheetLayoutView="110" workbookViewId="0">
      <pane xSplit="1" ySplit="4" topLeftCell="B5" activePane="bottomRight" state="frozen"/>
      <selection pane="topRight" activeCell="B1" sqref="B1"/>
      <selection pane="bottomLeft" activeCell="A5" sqref="A5"/>
      <selection pane="bottomRight" activeCell="E13" sqref="E13"/>
    </sheetView>
  </sheetViews>
  <sheetFormatPr defaultColWidth="9" defaultRowHeight="12.75" outlineLevelCol="1"/>
  <cols>
    <col min="1" max="2" width="45.625" style="286" customWidth="1"/>
    <col min="3" max="3" width="13.125" style="6" customWidth="1" outlineLevel="1"/>
    <col min="4" max="5" width="13" style="6" customWidth="1" outlineLevel="1"/>
    <col min="6" max="6" width="12.5" style="6" customWidth="1" outlineLevel="1"/>
    <col min="7" max="7" width="13" style="6" customWidth="1" outlineLevel="1"/>
    <col min="8" max="9" width="12.875" style="6" customWidth="1" outlineLevel="1"/>
    <col min="10" max="10" width="12.5" style="6" customWidth="1" outlineLevel="1"/>
    <col min="11" max="12" width="13" style="6" customWidth="1" outlineLevel="1"/>
    <col min="13" max="13" width="12.875" style="6" customWidth="1" outlineLevel="1"/>
    <col min="14" max="14" width="12.5" style="6" customWidth="1" outlineLevel="1"/>
    <col min="15" max="29" width="13" style="6" customWidth="1" outlineLevel="1"/>
    <col min="30" max="30" width="14.125" style="6" customWidth="1" outlineLevel="1"/>
    <col min="31" max="34" width="13" style="8" customWidth="1" outlineLevel="1"/>
    <col min="35" max="46" width="13.125" style="8" customWidth="1"/>
    <col min="47" max="56" width="9" style="8"/>
    <col min="57" max="16384" width="9" style="6"/>
  </cols>
  <sheetData>
    <row r="1" spans="1:489" s="14" customFormat="1" ht="89.25" customHeight="1">
      <c r="A1" s="282"/>
      <c r="B1" s="5"/>
      <c r="C1" s="5"/>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row>
    <row r="2" spans="1:489" s="678" customFormat="1" ht="42.75" customHeight="1">
      <c r="A2" s="435" t="s">
        <v>254</v>
      </c>
      <c r="B2" s="662" t="s">
        <v>255</v>
      </c>
      <c r="C2" s="716">
        <v>2012</v>
      </c>
      <c r="D2" s="716"/>
      <c r="E2" s="716"/>
      <c r="F2" s="717"/>
      <c r="G2" s="715">
        <v>2013</v>
      </c>
      <c r="H2" s="716"/>
      <c r="I2" s="716"/>
      <c r="J2" s="717"/>
      <c r="K2" s="716">
        <v>2014</v>
      </c>
      <c r="L2" s="716"/>
      <c r="M2" s="716"/>
      <c r="N2" s="716"/>
      <c r="O2" s="715">
        <v>2015</v>
      </c>
      <c r="P2" s="716"/>
      <c r="Q2" s="716"/>
      <c r="R2" s="717"/>
      <c r="S2" s="715">
        <v>2016</v>
      </c>
      <c r="T2" s="716"/>
      <c r="U2" s="716"/>
      <c r="V2" s="717"/>
      <c r="W2" s="715" t="s">
        <v>526</v>
      </c>
      <c r="X2" s="716"/>
      <c r="Y2" s="716"/>
      <c r="Z2" s="717"/>
      <c r="AA2" s="715" t="s">
        <v>527</v>
      </c>
      <c r="AB2" s="718"/>
      <c r="AC2" s="718"/>
      <c r="AD2" s="719"/>
      <c r="AE2" s="715" t="s">
        <v>528</v>
      </c>
      <c r="AF2" s="718"/>
      <c r="AG2" s="718"/>
      <c r="AH2" s="719"/>
      <c r="AI2" s="715" t="s">
        <v>529</v>
      </c>
      <c r="AJ2" s="716"/>
      <c r="AK2" s="716"/>
      <c r="AL2" s="717"/>
      <c r="AM2" s="715">
        <v>2020</v>
      </c>
      <c r="AN2" s="718"/>
      <c r="AO2" s="718"/>
      <c r="AP2" s="719"/>
      <c r="AQ2" s="715">
        <v>2021</v>
      </c>
      <c r="AR2" s="718"/>
      <c r="AS2" s="718"/>
      <c r="AT2" s="719"/>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7"/>
      <c r="CB2" s="677"/>
      <c r="CC2" s="677"/>
      <c r="CD2" s="677"/>
      <c r="CE2" s="677"/>
      <c r="CF2" s="677"/>
      <c r="CG2" s="677"/>
      <c r="CH2" s="677"/>
      <c r="CI2" s="677"/>
      <c r="CJ2" s="677"/>
      <c r="CK2" s="677"/>
      <c r="CL2" s="677"/>
      <c r="CM2" s="677"/>
      <c r="CN2" s="677"/>
      <c r="CO2" s="677"/>
      <c r="CP2" s="677"/>
      <c r="CQ2" s="677"/>
      <c r="CR2" s="677"/>
      <c r="CS2" s="677"/>
      <c r="CT2" s="677"/>
      <c r="CU2" s="677"/>
      <c r="CV2" s="677"/>
      <c r="CW2" s="677"/>
      <c r="CX2" s="677"/>
      <c r="CY2" s="677"/>
      <c r="CZ2" s="677"/>
      <c r="DA2" s="677"/>
      <c r="DB2" s="677"/>
      <c r="DC2" s="677"/>
      <c r="DD2" s="677"/>
      <c r="DE2" s="677"/>
      <c r="DF2" s="677"/>
      <c r="DG2" s="677"/>
      <c r="DH2" s="677"/>
      <c r="DI2" s="677"/>
      <c r="DJ2" s="677"/>
      <c r="DK2" s="677"/>
      <c r="DL2" s="677"/>
      <c r="DM2" s="677"/>
      <c r="DN2" s="677"/>
      <c r="DO2" s="677"/>
      <c r="DP2" s="677"/>
      <c r="DQ2" s="677"/>
      <c r="DR2" s="677"/>
      <c r="DS2" s="677"/>
      <c r="DT2" s="677"/>
      <c r="DU2" s="677"/>
      <c r="DV2" s="677"/>
      <c r="DW2" s="677"/>
      <c r="DX2" s="677"/>
      <c r="DY2" s="677"/>
      <c r="DZ2" s="677"/>
      <c r="EA2" s="677"/>
      <c r="EB2" s="677"/>
      <c r="EC2" s="677"/>
      <c r="ED2" s="677"/>
      <c r="EE2" s="677"/>
      <c r="EF2" s="677"/>
      <c r="EG2" s="677"/>
      <c r="EH2" s="677"/>
      <c r="EI2" s="677"/>
      <c r="EJ2" s="677"/>
      <c r="EK2" s="677"/>
      <c r="EL2" s="677"/>
      <c r="EM2" s="677"/>
      <c r="EN2" s="677"/>
      <c r="EO2" s="677"/>
      <c r="EP2" s="677"/>
      <c r="EQ2" s="677"/>
      <c r="ER2" s="677"/>
      <c r="ES2" s="677"/>
      <c r="ET2" s="677"/>
      <c r="EU2" s="677"/>
      <c r="EV2" s="677"/>
      <c r="EW2" s="677"/>
      <c r="EX2" s="677"/>
      <c r="EY2" s="677"/>
      <c r="EZ2" s="677"/>
      <c r="FA2" s="677"/>
      <c r="FB2" s="677"/>
      <c r="FC2" s="677"/>
      <c r="FD2" s="677"/>
      <c r="FE2" s="677"/>
      <c r="FF2" s="677"/>
      <c r="FG2" s="677"/>
      <c r="FH2" s="677"/>
      <c r="FI2" s="677"/>
      <c r="FJ2" s="677"/>
      <c r="FK2" s="677"/>
      <c r="FL2" s="677"/>
      <c r="FM2" s="677"/>
      <c r="FN2" s="677"/>
      <c r="FO2" s="677"/>
      <c r="FP2" s="677"/>
      <c r="FQ2" s="677"/>
      <c r="FR2" s="677"/>
      <c r="FS2" s="677"/>
      <c r="FT2" s="677"/>
      <c r="FU2" s="677"/>
      <c r="FV2" s="677"/>
      <c r="FW2" s="677"/>
      <c r="FX2" s="677"/>
      <c r="FY2" s="677"/>
      <c r="FZ2" s="677"/>
      <c r="GA2" s="677"/>
      <c r="GB2" s="677"/>
      <c r="GC2" s="677"/>
      <c r="GD2" s="677"/>
      <c r="GE2" s="677"/>
      <c r="GF2" s="677"/>
      <c r="GG2" s="677"/>
      <c r="GH2" s="677"/>
      <c r="GI2" s="677"/>
      <c r="GJ2" s="677"/>
      <c r="GK2" s="677"/>
      <c r="GL2" s="677"/>
      <c r="GM2" s="677"/>
      <c r="GN2" s="677"/>
      <c r="GO2" s="677"/>
      <c r="GP2" s="677"/>
      <c r="GQ2" s="677"/>
      <c r="GR2" s="677"/>
      <c r="GS2" s="677"/>
      <c r="GT2" s="677"/>
      <c r="GU2" s="677"/>
      <c r="GV2" s="677"/>
      <c r="GW2" s="677"/>
      <c r="GX2" s="677"/>
      <c r="GY2" s="677"/>
      <c r="GZ2" s="677"/>
      <c r="HA2" s="677"/>
      <c r="HB2" s="677"/>
      <c r="HC2" s="677"/>
      <c r="HD2" s="677"/>
      <c r="HE2" s="677"/>
      <c r="HF2" s="677"/>
      <c r="HG2" s="677"/>
      <c r="HH2" s="677"/>
      <c r="HI2" s="677"/>
      <c r="HJ2" s="677"/>
      <c r="HK2" s="677"/>
      <c r="HL2" s="677"/>
      <c r="HM2" s="677"/>
      <c r="HN2" s="677"/>
      <c r="HO2" s="677"/>
      <c r="HP2" s="677"/>
      <c r="HQ2" s="677"/>
      <c r="HR2" s="677"/>
      <c r="HS2" s="677"/>
      <c r="HT2" s="677"/>
      <c r="HU2" s="677"/>
      <c r="HV2" s="677"/>
      <c r="HW2" s="677"/>
      <c r="HX2" s="677"/>
      <c r="HY2" s="677"/>
      <c r="HZ2" s="677"/>
      <c r="IA2" s="677"/>
      <c r="IB2" s="677"/>
      <c r="IC2" s="677"/>
      <c r="ID2" s="677"/>
      <c r="IE2" s="677"/>
      <c r="IF2" s="677"/>
      <c r="IG2" s="677"/>
      <c r="IH2" s="677"/>
      <c r="II2" s="677"/>
      <c r="IJ2" s="677"/>
      <c r="IK2" s="677"/>
      <c r="IL2" s="677"/>
      <c r="IM2" s="677"/>
      <c r="IN2" s="677"/>
      <c r="IO2" s="677"/>
      <c r="IP2" s="677"/>
      <c r="IQ2" s="677"/>
      <c r="IR2" s="677"/>
      <c r="IS2" s="677"/>
      <c r="IT2" s="677"/>
      <c r="IU2" s="677"/>
      <c r="IV2" s="677"/>
      <c r="IW2" s="677"/>
      <c r="IX2" s="677"/>
      <c r="IY2" s="677"/>
      <c r="IZ2" s="677"/>
      <c r="JA2" s="677"/>
      <c r="JB2" s="677"/>
      <c r="JC2" s="677"/>
      <c r="JD2" s="677"/>
      <c r="JE2" s="677"/>
      <c r="JF2" s="677"/>
      <c r="JG2" s="677"/>
      <c r="JH2" s="677"/>
      <c r="JI2" s="677"/>
      <c r="JJ2" s="677"/>
      <c r="JK2" s="677"/>
      <c r="JL2" s="677"/>
      <c r="JM2" s="677"/>
      <c r="JN2" s="677"/>
      <c r="JO2" s="677"/>
      <c r="JP2" s="677"/>
      <c r="JQ2" s="677"/>
      <c r="JR2" s="677"/>
      <c r="JS2" s="677"/>
      <c r="JT2" s="677"/>
      <c r="JU2" s="677"/>
      <c r="JV2" s="677"/>
      <c r="JW2" s="677"/>
      <c r="JX2" s="677"/>
      <c r="JY2" s="677"/>
      <c r="JZ2" s="677"/>
      <c r="KA2" s="677"/>
      <c r="KB2" s="677"/>
      <c r="KC2" s="677"/>
      <c r="KD2" s="677"/>
      <c r="KE2" s="677"/>
      <c r="KF2" s="677"/>
      <c r="KG2" s="677"/>
      <c r="KH2" s="677"/>
      <c r="KI2" s="677"/>
      <c r="KJ2" s="677"/>
      <c r="KK2" s="677"/>
      <c r="KL2" s="677"/>
      <c r="KM2" s="677"/>
      <c r="KN2" s="677"/>
      <c r="KO2" s="677"/>
      <c r="KP2" s="677"/>
      <c r="KQ2" s="677"/>
      <c r="KR2" s="677"/>
      <c r="KS2" s="677"/>
      <c r="KT2" s="677"/>
      <c r="KU2" s="677"/>
      <c r="KV2" s="677"/>
      <c r="KW2" s="677"/>
      <c r="KX2" s="677"/>
      <c r="KY2" s="677"/>
      <c r="KZ2" s="677"/>
      <c r="LA2" s="677"/>
      <c r="LB2" s="677"/>
      <c r="LC2" s="677"/>
      <c r="LD2" s="677"/>
      <c r="LE2" s="677"/>
      <c r="LF2" s="677"/>
      <c r="LG2" s="677"/>
      <c r="LH2" s="677"/>
      <c r="LI2" s="677"/>
      <c r="LJ2" s="677"/>
      <c r="LK2" s="677"/>
      <c r="LL2" s="677"/>
      <c r="LM2" s="677"/>
      <c r="LN2" s="677"/>
      <c r="LO2" s="677"/>
      <c r="LP2" s="677"/>
      <c r="LQ2" s="677"/>
      <c r="LR2" s="677"/>
      <c r="LS2" s="677"/>
      <c r="LT2" s="677"/>
      <c r="LU2" s="677"/>
      <c r="LV2" s="677"/>
      <c r="LW2" s="677"/>
      <c r="LX2" s="677"/>
      <c r="LY2" s="677"/>
      <c r="LZ2" s="677"/>
      <c r="MA2" s="677"/>
      <c r="MB2" s="677"/>
      <c r="MC2" s="677"/>
      <c r="MD2" s="677"/>
      <c r="ME2" s="677"/>
      <c r="MF2" s="677"/>
      <c r="MG2" s="677"/>
      <c r="MH2" s="677"/>
      <c r="MI2" s="677"/>
      <c r="MJ2" s="677"/>
      <c r="MK2" s="677"/>
      <c r="ML2" s="677"/>
      <c r="MM2" s="677"/>
      <c r="MN2" s="677"/>
      <c r="MO2" s="677"/>
      <c r="MP2" s="677"/>
      <c r="MQ2" s="677"/>
      <c r="MR2" s="677"/>
      <c r="MS2" s="677"/>
      <c r="MT2" s="677"/>
      <c r="MU2" s="677"/>
      <c r="MV2" s="677"/>
      <c r="MW2" s="677"/>
      <c r="MX2" s="677"/>
      <c r="MY2" s="677"/>
      <c r="MZ2" s="677"/>
      <c r="NA2" s="677"/>
      <c r="NB2" s="677"/>
      <c r="NC2" s="677"/>
      <c r="ND2" s="677"/>
      <c r="NE2" s="677"/>
      <c r="NF2" s="677"/>
      <c r="NG2" s="677"/>
      <c r="NH2" s="677"/>
      <c r="NI2" s="677"/>
      <c r="NJ2" s="677"/>
      <c r="NK2" s="677"/>
      <c r="NL2" s="677"/>
      <c r="NM2" s="677"/>
      <c r="NN2" s="677"/>
      <c r="NO2" s="677"/>
      <c r="NP2" s="677"/>
      <c r="NQ2" s="677"/>
      <c r="NR2" s="677"/>
      <c r="NS2" s="677"/>
      <c r="NT2" s="677"/>
      <c r="NU2" s="677"/>
      <c r="NV2" s="677"/>
      <c r="NW2" s="677"/>
      <c r="NX2" s="677"/>
      <c r="NY2" s="677"/>
      <c r="NZ2" s="677"/>
      <c r="OA2" s="677"/>
      <c r="OB2" s="677"/>
      <c r="OC2" s="677"/>
      <c r="OD2" s="677"/>
      <c r="OE2" s="677"/>
      <c r="OF2" s="677"/>
      <c r="OG2" s="677"/>
      <c r="OH2" s="677"/>
      <c r="OI2" s="677"/>
      <c r="OJ2" s="677"/>
      <c r="OK2" s="677"/>
      <c r="OL2" s="677"/>
      <c r="OM2" s="677"/>
      <c r="ON2" s="677"/>
      <c r="OO2" s="677"/>
      <c r="OP2" s="677"/>
      <c r="OQ2" s="677"/>
      <c r="OR2" s="677"/>
      <c r="OS2" s="677"/>
      <c r="OT2" s="677"/>
      <c r="OU2" s="677"/>
      <c r="OV2" s="677"/>
      <c r="OW2" s="677"/>
      <c r="OX2" s="677"/>
      <c r="OY2" s="677"/>
      <c r="OZ2" s="677"/>
      <c r="PA2" s="677"/>
      <c r="PB2" s="677"/>
      <c r="PC2" s="677"/>
      <c r="PD2" s="677"/>
      <c r="PE2" s="677"/>
      <c r="PF2" s="677"/>
      <c r="PG2" s="677"/>
      <c r="PH2" s="677"/>
      <c r="PI2" s="677"/>
      <c r="PJ2" s="677"/>
      <c r="PK2" s="677"/>
      <c r="PL2" s="677"/>
      <c r="PM2" s="677"/>
      <c r="PN2" s="677"/>
      <c r="PO2" s="677"/>
      <c r="PP2" s="677"/>
      <c r="PQ2" s="677"/>
      <c r="PR2" s="677"/>
      <c r="PS2" s="677"/>
      <c r="PT2" s="677"/>
      <c r="PU2" s="677"/>
      <c r="PV2" s="677"/>
      <c r="PW2" s="677"/>
      <c r="PX2" s="677"/>
      <c r="PY2" s="677"/>
      <c r="PZ2" s="677"/>
      <c r="QA2" s="677"/>
      <c r="QB2" s="677"/>
      <c r="QC2" s="677"/>
      <c r="QD2" s="677"/>
      <c r="QE2" s="677"/>
      <c r="QF2" s="677"/>
      <c r="QG2" s="677"/>
      <c r="QH2" s="677"/>
      <c r="QI2" s="677"/>
      <c r="QJ2" s="677"/>
      <c r="QK2" s="677"/>
      <c r="QL2" s="677"/>
      <c r="QM2" s="677"/>
      <c r="QN2" s="677"/>
      <c r="QO2" s="677"/>
      <c r="QP2" s="677"/>
      <c r="QQ2" s="677"/>
      <c r="QR2" s="677"/>
      <c r="QS2" s="677"/>
      <c r="QT2" s="677"/>
      <c r="QU2" s="677"/>
      <c r="QV2" s="677"/>
      <c r="QW2" s="677"/>
      <c r="QX2" s="677"/>
      <c r="QY2" s="677"/>
      <c r="QZ2" s="677"/>
      <c r="RA2" s="677"/>
      <c r="RB2" s="677"/>
      <c r="RC2" s="677"/>
      <c r="RD2" s="677"/>
      <c r="RE2" s="677"/>
      <c r="RF2" s="677"/>
      <c r="RG2" s="677"/>
      <c r="RH2" s="677"/>
      <c r="RI2" s="677"/>
      <c r="RJ2" s="677"/>
      <c r="RK2" s="677"/>
      <c r="RL2" s="677"/>
      <c r="RM2" s="677"/>
      <c r="RN2" s="677"/>
      <c r="RO2" s="677"/>
      <c r="RP2" s="677"/>
      <c r="RQ2" s="677"/>
      <c r="RR2" s="677"/>
      <c r="RS2" s="677"/>
      <c r="RT2" s="677"/>
      <c r="RU2" s="677"/>
    </row>
    <row r="3" spans="1:489" s="78" customFormat="1" ht="39.950000000000003" customHeight="1">
      <c r="A3" s="435" t="s">
        <v>7</v>
      </c>
      <c r="B3" s="662" t="s">
        <v>7</v>
      </c>
      <c r="C3" s="663" t="s">
        <v>256</v>
      </c>
      <c r="D3" s="663" t="s">
        <v>257</v>
      </c>
      <c r="E3" s="663" t="s">
        <v>258</v>
      </c>
      <c r="F3" s="664" t="s">
        <v>259</v>
      </c>
      <c r="G3" s="665" t="s">
        <v>256</v>
      </c>
      <c r="H3" s="663" t="s">
        <v>257</v>
      </c>
      <c r="I3" s="663" t="s">
        <v>258</v>
      </c>
      <c r="J3" s="664" t="s">
        <v>259</v>
      </c>
      <c r="K3" s="663" t="s">
        <v>256</v>
      </c>
      <c r="L3" s="663" t="s">
        <v>257</v>
      </c>
      <c r="M3" s="663" t="s">
        <v>258</v>
      </c>
      <c r="N3" s="664" t="s">
        <v>259</v>
      </c>
      <c r="O3" s="665" t="s">
        <v>256</v>
      </c>
      <c r="P3" s="663" t="s">
        <v>257</v>
      </c>
      <c r="Q3" s="663" t="s">
        <v>258</v>
      </c>
      <c r="R3" s="664" t="s">
        <v>259</v>
      </c>
      <c r="S3" s="665" t="s">
        <v>256</v>
      </c>
      <c r="T3" s="663" t="s">
        <v>257</v>
      </c>
      <c r="U3" s="663" t="s">
        <v>258</v>
      </c>
      <c r="V3" s="664" t="s">
        <v>259</v>
      </c>
      <c r="W3" s="665" t="s">
        <v>256</v>
      </c>
      <c r="X3" s="663" t="s">
        <v>257</v>
      </c>
      <c r="Y3" s="663" t="s">
        <v>258</v>
      </c>
      <c r="Z3" s="664" t="s">
        <v>259</v>
      </c>
      <c r="AA3" s="665" t="s">
        <v>256</v>
      </c>
      <c r="AB3" s="663" t="s">
        <v>257</v>
      </c>
      <c r="AC3" s="663" t="s">
        <v>258</v>
      </c>
      <c r="AD3" s="664" t="s">
        <v>259</v>
      </c>
      <c r="AE3" s="665" t="s">
        <v>256</v>
      </c>
      <c r="AF3" s="663" t="s">
        <v>257</v>
      </c>
      <c r="AG3" s="663" t="s">
        <v>258</v>
      </c>
      <c r="AH3" s="664" t="s">
        <v>259</v>
      </c>
      <c r="AI3" s="665" t="s">
        <v>256</v>
      </c>
      <c r="AJ3" s="663" t="s">
        <v>257</v>
      </c>
      <c r="AK3" s="663" t="s">
        <v>258</v>
      </c>
      <c r="AL3" s="664" t="s">
        <v>259</v>
      </c>
      <c r="AM3" s="665" t="s">
        <v>256</v>
      </c>
      <c r="AN3" s="663" t="s">
        <v>257</v>
      </c>
      <c r="AO3" s="663" t="s">
        <v>258</v>
      </c>
      <c r="AP3" s="664" t="s">
        <v>259</v>
      </c>
      <c r="AQ3" s="665" t="s">
        <v>256</v>
      </c>
      <c r="AR3" s="663" t="s">
        <v>257</v>
      </c>
      <c r="AS3" s="663" t="s">
        <v>258</v>
      </c>
      <c r="AT3" s="664" t="s">
        <v>259</v>
      </c>
      <c r="AU3" s="9"/>
      <c r="AV3" s="9"/>
      <c r="AW3" s="9"/>
      <c r="AX3" s="9"/>
      <c r="AY3" s="9"/>
      <c r="AZ3" s="9"/>
      <c r="BA3" s="9"/>
      <c r="BB3" s="9"/>
      <c r="BC3" s="9"/>
      <c r="BD3" s="9"/>
    </row>
    <row r="4" spans="1:489" s="676" customFormat="1" ht="39.950000000000003" customHeight="1">
      <c r="A4" s="670"/>
      <c r="B4" s="671"/>
      <c r="C4" s="672" t="s">
        <v>260</v>
      </c>
      <c r="D4" s="672" t="s">
        <v>261</v>
      </c>
      <c r="E4" s="672" t="s">
        <v>262</v>
      </c>
      <c r="F4" s="673" t="s">
        <v>263</v>
      </c>
      <c r="G4" s="674" t="s">
        <v>260</v>
      </c>
      <c r="H4" s="672" t="s">
        <v>261</v>
      </c>
      <c r="I4" s="672" t="s">
        <v>262</v>
      </c>
      <c r="J4" s="673" t="s">
        <v>263</v>
      </c>
      <c r="K4" s="672" t="s">
        <v>260</v>
      </c>
      <c r="L4" s="672" t="s">
        <v>261</v>
      </c>
      <c r="M4" s="672" t="s">
        <v>262</v>
      </c>
      <c r="N4" s="673" t="s">
        <v>263</v>
      </c>
      <c r="O4" s="674" t="s">
        <v>260</v>
      </c>
      <c r="P4" s="672" t="s">
        <v>261</v>
      </c>
      <c r="Q4" s="672" t="s">
        <v>262</v>
      </c>
      <c r="R4" s="673" t="s">
        <v>263</v>
      </c>
      <c r="S4" s="674" t="s">
        <v>260</v>
      </c>
      <c r="T4" s="672" t="s">
        <v>261</v>
      </c>
      <c r="U4" s="672" t="s">
        <v>262</v>
      </c>
      <c r="V4" s="673" t="s">
        <v>263</v>
      </c>
      <c r="W4" s="674" t="s">
        <v>260</v>
      </c>
      <c r="X4" s="672" t="s">
        <v>261</v>
      </c>
      <c r="Y4" s="672" t="s">
        <v>262</v>
      </c>
      <c r="Z4" s="673" t="s">
        <v>263</v>
      </c>
      <c r="AA4" s="674" t="s">
        <v>260</v>
      </c>
      <c r="AB4" s="672" t="s">
        <v>261</v>
      </c>
      <c r="AC4" s="672" t="s">
        <v>262</v>
      </c>
      <c r="AD4" s="673" t="s">
        <v>263</v>
      </c>
      <c r="AE4" s="674" t="s">
        <v>260</v>
      </c>
      <c r="AF4" s="672" t="s">
        <v>261</v>
      </c>
      <c r="AG4" s="672" t="s">
        <v>262</v>
      </c>
      <c r="AH4" s="673" t="s">
        <v>263</v>
      </c>
      <c r="AI4" s="674" t="s">
        <v>260</v>
      </c>
      <c r="AJ4" s="672" t="s">
        <v>261</v>
      </c>
      <c r="AK4" s="672" t="s">
        <v>262</v>
      </c>
      <c r="AL4" s="673" t="s">
        <v>263</v>
      </c>
      <c r="AM4" s="674" t="s">
        <v>260</v>
      </c>
      <c r="AN4" s="672" t="s">
        <v>261</v>
      </c>
      <c r="AO4" s="672" t="s">
        <v>262</v>
      </c>
      <c r="AP4" s="673" t="s">
        <v>263</v>
      </c>
      <c r="AQ4" s="674" t="s">
        <v>260</v>
      </c>
      <c r="AR4" s="672" t="s">
        <v>261</v>
      </c>
      <c r="AS4" s="672" t="s">
        <v>262</v>
      </c>
      <c r="AT4" s="673" t="s">
        <v>263</v>
      </c>
      <c r="AU4" s="675"/>
      <c r="AV4" s="675"/>
      <c r="AW4" s="675"/>
      <c r="AX4" s="675"/>
      <c r="AY4" s="675"/>
      <c r="AZ4" s="675"/>
      <c r="BA4" s="675"/>
      <c r="BB4" s="675"/>
      <c r="BC4" s="675"/>
      <c r="BD4" s="675"/>
    </row>
    <row r="5" spans="1:489" s="74" customFormat="1" ht="20.100000000000001" customHeight="1" thickBot="1">
      <c r="A5" s="666" t="s">
        <v>264</v>
      </c>
      <c r="B5" s="667" t="s">
        <v>265</v>
      </c>
      <c r="C5" s="117">
        <v>205.10900000000001</v>
      </c>
      <c r="D5" s="117">
        <v>304.61200000000002</v>
      </c>
      <c r="E5" s="117">
        <v>476.67400000000004</v>
      </c>
      <c r="F5" s="668">
        <v>598.298</v>
      </c>
      <c r="G5" s="669">
        <v>95.105000000000004</v>
      </c>
      <c r="H5" s="117">
        <v>175.85</v>
      </c>
      <c r="I5" s="117">
        <v>352.30099999999999</v>
      </c>
      <c r="J5" s="668">
        <v>525.44500000000005</v>
      </c>
      <c r="K5" s="117">
        <v>98.171999999999997</v>
      </c>
      <c r="L5" s="117">
        <f>'P&amp;L'!M27+'P&amp;L'!N27</f>
        <v>230.29999999999967</v>
      </c>
      <c r="M5" s="117">
        <v>278.5</v>
      </c>
      <c r="N5" s="117">
        <v>292.5</v>
      </c>
      <c r="O5" s="669">
        <v>170.8</v>
      </c>
      <c r="P5" s="117">
        <v>475.29999999999984</v>
      </c>
      <c r="Q5" s="117">
        <f>SUM('P&amp;L'!R27:T27)</f>
        <v>977.7999999999995</v>
      </c>
      <c r="R5" s="668">
        <f>SUM('P&amp;L'!V27)</f>
        <v>1163.3999999999994</v>
      </c>
      <c r="S5" s="669">
        <f>'P&amp;L'!W27</f>
        <v>178.50000000000006</v>
      </c>
      <c r="T5" s="117">
        <f>'P&amp;L'!W27+'P&amp;L'!X27</f>
        <v>409.4000000000002</v>
      </c>
      <c r="U5" s="117">
        <f>T5+'P&amp;L'!Y27</f>
        <v>679.20000000000061</v>
      </c>
      <c r="V5" s="668">
        <f>'P&amp;L'!AA27</f>
        <v>1021.0000000000001</v>
      </c>
      <c r="W5" s="669">
        <v>271.40000000000032</v>
      </c>
      <c r="X5" s="117">
        <v>553.10000000000025</v>
      </c>
      <c r="Y5" s="117">
        <v>788</v>
      </c>
      <c r="Z5" s="668">
        <v>945.2</v>
      </c>
      <c r="AA5" s="117">
        <v>292.2</v>
      </c>
      <c r="AB5" s="117">
        <v>523.6</v>
      </c>
      <c r="AC5" s="117">
        <v>750.7</v>
      </c>
      <c r="AD5" s="668">
        <v>816.1</v>
      </c>
      <c r="AE5" s="117">
        <v>300.8</v>
      </c>
      <c r="AF5" s="117">
        <v>570.9</v>
      </c>
      <c r="AG5" s="117">
        <v>817.9</v>
      </c>
      <c r="AH5" s="668">
        <v>1126.3</v>
      </c>
      <c r="AI5" s="669">
        <v>297.3</v>
      </c>
      <c r="AJ5" s="117">
        <v>566.20000000000005</v>
      </c>
      <c r="AK5" s="117">
        <v>802.7</v>
      </c>
      <c r="AL5" s="668">
        <v>1114.5999999999999</v>
      </c>
      <c r="AM5" s="669">
        <f>'P&amp;L'!BB27</f>
        <v>183.78882651999987</v>
      </c>
      <c r="AN5" s="117">
        <v>474.5</v>
      </c>
      <c r="AO5" s="117">
        <v>819.5</v>
      </c>
      <c r="AP5" s="668">
        <v>1146.2</v>
      </c>
      <c r="AQ5" s="669">
        <f>'P&amp;L'!BG27</f>
        <v>390.4</v>
      </c>
      <c r="AR5" s="117">
        <f>'P&amp;L'!BH27+AQ5</f>
        <v>932.09999999999991</v>
      </c>
      <c r="AS5" s="117"/>
      <c r="AT5" s="668"/>
    </row>
    <row r="6" spans="1:489" s="74" customFormat="1" ht="20.100000000000001" customHeight="1" thickBot="1">
      <c r="A6" s="535" t="s">
        <v>266</v>
      </c>
      <c r="B6" s="536" t="s">
        <v>267</v>
      </c>
      <c r="C6" s="537">
        <f t="shared" ref="C6:AB6" si="0">SUM(C7:C29)</f>
        <v>27.58799999999999</v>
      </c>
      <c r="D6" s="537">
        <f t="shared" si="0"/>
        <v>110.99899999999997</v>
      </c>
      <c r="E6" s="537">
        <f t="shared" si="0"/>
        <v>152.09600000000003</v>
      </c>
      <c r="F6" s="538">
        <f t="shared" si="0"/>
        <v>244.9200000000001</v>
      </c>
      <c r="G6" s="539">
        <f t="shared" si="0"/>
        <v>70.556999999999988</v>
      </c>
      <c r="H6" s="540">
        <f t="shared" si="0"/>
        <v>176.07799999999997</v>
      </c>
      <c r="I6" s="540">
        <f t="shared" si="0"/>
        <v>195.94299999999996</v>
      </c>
      <c r="J6" s="538">
        <f t="shared" si="0"/>
        <v>334.28999999999991</v>
      </c>
      <c r="K6" s="540">
        <f t="shared" si="0"/>
        <v>86.532000000000011</v>
      </c>
      <c r="L6" s="540">
        <f t="shared" si="0"/>
        <v>505.40000000000015</v>
      </c>
      <c r="M6" s="540">
        <f t="shared" si="0"/>
        <v>1145.4000000000003</v>
      </c>
      <c r="N6" s="540">
        <f t="shared" si="0"/>
        <v>1825.2999999999997</v>
      </c>
      <c r="O6" s="539">
        <f t="shared" si="0"/>
        <v>282.2000000000001</v>
      </c>
      <c r="P6" s="540">
        <f t="shared" si="0"/>
        <v>852.69999999999982</v>
      </c>
      <c r="Q6" s="540">
        <f t="shared" si="0"/>
        <v>1195.6999999999994</v>
      </c>
      <c r="R6" s="538">
        <f t="shared" si="0"/>
        <v>1821.6999999999998</v>
      </c>
      <c r="S6" s="539">
        <f t="shared" si="0"/>
        <v>405.9</v>
      </c>
      <c r="T6" s="540">
        <f t="shared" si="0"/>
        <v>1140</v>
      </c>
      <c r="U6" s="540">
        <f t="shared" si="0"/>
        <v>1678.3000000000002</v>
      </c>
      <c r="V6" s="538">
        <f t="shared" si="0"/>
        <v>2130.5</v>
      </c>
      <c r="W6" s="539">
        <f t="shared" si="0"/>
        <v>509.29999999999995</v>
      </c>
      <c r="X6" s="540">
        <f t="shared" si="0"/>
        <v>1062.8</v>
      </c>
      <c r="Y6" s="540">
        <f t="shared" si="0"/>
        <v>1457.6999999999998</v>
      </c>
      <c r="Z6" s="538">
        <f t="shared" si="0"/>
        <v>2181.1000000000004</v>
      </c>
      <c r="AA6" s="540">
        <f t="shared" si="0"/>
        <v>340.90000000000009</v>
      </c>
      <c r="AB6" s="540">
        <f t="shared" si="0"/>
        <v>873.30000000000007</v>
      </c>
      <c r="AC6" s="540">
        <v>1470.1</v>
      </c>
      <c r="AD6" s="538">
        <f t="shared" ref="AD6:AP6" si="1">SUM(AD7:AD29)</f>
        <v>2416</v>
      </c>
      <c r="AE6" s="540">
        <f t="shared" si="1"/>
        <v>402.4</v>
      </c>
      <c r="AF6" s="540">
        <f t="shared" si="1"/>
        <v>983.40000000000032</v>
      </c>
      <c r="AG6" s="540">
        <f t="shared" si="1"/>
        <v>1588.9000000000003</v>
      </c>
      <c r="AH6" s="538">
        <f t="shared" si="1"/>
        <v>2265.5</v>
      </c>
      <c r="AI6" s="539">
        <f t="shared" si="1"/>
        <v>464.9</v>
      </c>
      <c r="AJ6" s="540">
        <f t="shared" si="1"/>
        <v>1143.1000000000001</v>
      </c>
      <c r="AK6" s="540">
        <f t="shared" si="1"/>
        <v>1857.2000000000003</v>
      </c>
      <c r="AL6" s="538">
        <f t="shared" si="1"/>
        <v>2663.2999999999997</v>
      </c>
      <c r="AM6" s="539">
        <f t="shared" si="1"/>
        <v>677.20000000000016</v>
      </c>
      <c r="AN6" s="540">
        <f t="shared" si="1"/>
        <v>1232.3000000000004</v>
      </c>
      <c r="AO6" s="540">
        <f t="shared" si="1"/>
        <v>1835.7999999999997</v>
      </c>
      <c r="AP6" s="538">
        <f t="shared" si="1"/>
        <v>2651.7</v>
      </c>
      <c r="AQ6" s="539">
        <f t="shared" ref="AQ6:AT6" si="2">SUM(AQ7:AQ29)</f>
        <v>603.90000000000009</v>
      </c>
      <c r="AR6" s="540">
        <f t="shared" si="2"/>
        <v>953.8</v>
      </c>
      <c r="AS6" s="540">
        <f t="shared" si="2"/>
        <v>0</v>
      </c>
      <c r="AT6" s="538">
        <f t="shared" si="2"/>
        <v>0</v>
      </c>
    </row>
    <row r="7" spans="1:489" s="74" customFormat="1" ht="20.100000000000001" customHeight="1">
      <c r="A7" s="90" t="s">
        <v>28</v>
      </c>
      <c r="B7" s="283" t="s">
        <v>29</v>
      </c>
      <c r="C7" s="115">
        <v>54.433</v>
      </c>
      <c r="D7" s="115">
        <v>111.117</v>
      </c>
      <c r="E7" s="115">
        <v>171.35499999999999</v>
      </c>
      <c r="F7" s="82">
        <v>243.066</v>
      </c>
      <c r="G7" s="83">
        <v>60.698</v>
      </c>
      <c r="H7" s="115">
        <v>122.961</v>
      </c>
      <c r="I7" s="115">
        <v>187.82599999999999</v>
      </c>
      <c r="J7" s="82">
        <v>256.416</v>
      </c>
      <c r="K7" s="84">
        <v>62.434000000000005</v>
      </c>
      <c r="L7" s="84">
        <v>373.8</v>
      </c>
      <c r="M7" s="84">
        <v>852.1</v>
      </c>
      <c r="N7" s="84">
        <v>1295.9000000000001</v>
      </c>
      <c r="O7" s="83">
        <v>467.9</v>
      </c>
      <c r="P7" s="115">
        <v>861.4</v>
      </c>
      <c r="Q7" s="115">
        <v>1262.5999999999999</v>
      </c>
      <c r="R7" s="82">
        <v>1699.3</v>
      </c>
      <c r="S7" s="83">
        <v>423.7</v>
      </c>
      <c r="T7" s="115">
        <v>951.2</v>
      </c>
      <c r="U7" s="115">
        <v>1459.1</v>
      </c>
      <c r="V7" s="82">
        <v>1971.5</v>
      </c>
      <c r="W7" s="83">
        <v>472.3</v>
      </c>
      <c r="X7" s="115">
        <v>919</v>
      </c>
      <c r="Y7" s="115">
        <v>1348.2</v>
      </c>
      <c r="Z7" s="82">
        <v>1783</v>
      </c>
      <c r="AA7" s="115">
        <v>454.5</v>
      </c>
      <c r="AB7" s="115">
        <v>925.3</v>
      </c>
      <c r="AC7" s="115">
        <v>1448.8</v>
      </c>
      <c r="AD7" s="82">
        <v>1970.7</v>
      </c>
      <c r="AE7" s="115">
        <v>440.1</v>
      </c>
      <c r="AF7" s="115">
        <v>884.7</v>
      </c>
      <c r="AG7" s="115">
        <v>1333.2</v>
      </c>
      <c r="AH7" s="82">
        <v>1786.4</v>
      </c>
      <c r="AI7" s="83">
        <v>547.1</v>
      </c>
      <c r="AJ7" s="115">
        <v>1100.7</v>
      </c>
      <c r="AK7" s="115">
        <v>1662.2</v>
      </c>
      <c r="AL7" s="82">
        <v>2229.6999999999998</v>
      </c>
      <c r="AM7" s="83">
        <v>564.5</v>
      </c>
      <c r="AN7" s="115">
        <v>1130.4000000000001</v>
      </c>
      <c r="AO7" s="115">
        <v>1703.4</v>
      </c>
      <c r="AP7" s="82">
        <v>2305.6999999999998</v>
      </c>
      <c r="AQ7" s="83">
        <v>521.20000000000005</v>
      </c>
      <c r="AR7" s="115">
        <v>978.4</v>
      </c>
      <c r="AS7" s="115"/>
      <c r="AT7" s="82"/>
    </row>
    <row r="8" spans="1:489" s="74" customFormat="1" ht="20.100000000000001" customHeight="1">
      <c r="A8" s="90" t="s">
        <v>268</v>
      </c>
      <c r="B8" s="283" t="s">
        <v>269</v>
      </c>
      <c r="C8" s="115">
        <v>-29.711000000000002</v>
      </c>
      <c r="D8" s="115">
        <v>-88.683000000000007</v>
      </c>
      <c r="E8" s="115">
        <v>-140.589</v>
      </c>
      <c r="F8" s="82">
        <v>-177.86799999999999</v>
      </c>
      <c r="G8" s="83">
        <v>-44.32</v>
      </c>
      <c r="H8" s="115">
        <v>-122.45100000000001</v>
      </c>
      <c r="I8" s="115">
        <v>-189.477</v>
      </c>
      <c r="J8" s="82">
        <v>-222.45600000000002</v>
      </c>
      <c r="K8" s="84">
        <v>-109.42100000000001</v>
      </c>
      <c r="L8" s="84">
        <v>-148.9</v>
      </c>
      <c r="M8" s="84">
        <v>-224.7</v>
      </c>
      <c r="N8" s="84">
        <v>-306.8</v>
      </c>
      <c r="O8" s="83">
        <v>-41.5</v>
      </c>
      <c r="P8" s="115">
        <v>-115.2</v>
      </c>
      <c r="Q8" s="115">
        <v>-195.4</v>
      </c>
      <c r="R8" s="82">
        <v>-238.1</v>
      </c>
      <c r="S8" s="83">
        <v>-58.1</v>
      </c>
      <c r="T8" s="115">
        <v>-119</v>
      </c>
      <c r="U8" s="115">
        <v>-189.6</v>
      </c>
      <c r="V8" s="82">
        <v>-246.5</v>
      </c>
      <c r="W8" s="83">
        <v>-33.299999999999997</v>
      </c>
      <c r="X8" s="115">
        <v>-94.2</v>
      </c>
      <c r="Y8" s="115">
        <v>-246.2</v>
      </c>
      <c r="Z8" s="82">
        <v>-305.10000000000002</v>
      </c>
      <c r="AA8" s="115">
        <v>-62.4</v>
      </c>
      <c r="AB8" s="115">
        <v>-124.7</v>
      </c>
      <c r="AC8" s="115">
        <v>-411.2</v>
      </c>
      <c r="AD8" s="82">
        <v>-363.5</v>
      </c>
      <c r="AE8" s="115">
        <v>-156.30000000000001</v>
      </c>
      <c r="AF8" s="115">
        <v>-343.1</v>
      </c>
      <c r="AG8" s="115">
        <v>-534</v>
      </c>
      <c r="AH8" s="82">
        <v>-617.29999999999995</v>
      </c>
      <c r="AI8" s="83">
        <v>-156.30000000000001</v>
      </c>
      <c r="AJ8" s="115">
        <v>-343.1</v>
      </c>
      <c r="AK8" s="115">
        <v>-534</v>
      </c>
      <c r="AL8" s="82">
        <v>-617.29999999999995</v>
      </c>
      <c r="AM8" s="83">
        <v>-160.5</v>
      </c>
      <c r="AN8" s="115">
        <v>-223.3</v>
      </c>
      <c r="AO8" s="115">
        <v>-311.39999999999998</v>
      </c>
      <c r="AP8" s="82">
        <v>-511.9</v>
      </c>
      <c r="AQ8" s="83">
        <v>-175.1</v>
      </c>
      <c r="AR8" s="115">
        <v>-411.4</v>
      </c>
      <c r="AS8" s="115"/>
      <c r="AT8" s="82"/>
    </row>
    <row r="9" spans="1:489" s="74" customFormat="1" ht="20.100000000000001" customHeight="1">
      <c r="A9" s="90" t="s">
        <v>270</v>
      </c>
      <c r="B9" s="283" t="s">
        <v>271</v>
      </c>
      <c r="C9" s="115">
        <v>46.908999999999999</v>
      </c>
      <c r="D9" s="115">
        <v>99.832000000000008</v>
      </c>
      <c r="E9" s="115">
        <v>145.40600000000001</v>
      </c>
      <c r="F9" s="82">
        <v>194.52100000000002</v>
      </c>
      <c r="G9" s="83">
        <v>46.048999999999999</v>
      </c>
      <c r="H9" s="115">
        <v>102.423</v>
      </c>
      <c r="I9" s="115">
        <v>162.63200000000001</v>
      </c>
      <c r="J9" s="82">
        <v>220.37100000000001</v>
      </c>
      <c r="K9" s="84">
        <v>40.084000000000003</v>
      </c>
      <c r="L9" s="84">
        <v>85.1</v>
      </c>
      <c r="M9" s="84">
        <v>162.19999999999999</v>
      </c>
      <c r="N9" s="84">
        <v>224.4</v>
      </c>
      <c r="O9" s="83">
        <v>43.7</v>
      </c>
      <c r="P9" s="115">
        <v>90.5</v>
      </c>
      <c r="Q9" s="115">
        <v>149.9</v>
      </c>
      <c r="R9" s="82">
        <v>212.6</v>
      </c>
      <c r="S9" s="83">
        <v>49.1</v>
      </c>
      <c r="T9" s="115">
        <v>125.3</v>
      </c>
      <c r="U9" s="115">
        <v>173.5</v>
      </c>
      <c r="V9" s="82">
        <v>230.7</v>
      </c>
      <c r="W9" s="83">
        <v>48.5</v>
      </c>
      <c r="X9" s="115">
        <v>102.7</v>
      </c>
      <c r="Y9" s="115">
        <v>166.1</v>
      </c>
      <c r="Z9" s="82">
        <v>228.6</v>
      </c>
      <c r="AA9" s="115">
        <v>45.7</v>
      </c>
      <c r="AB9" s="115">
        <v>103.8</v>
      </c>
      <c r="AC9" s="115">
        <v>100.5</v>
      </c>
      <c r="AD9" s="82">
        <v>337</v>
      </c>
      <c r="AE9" s="115">
        <v>123.3</v>
      </c>
      <c r="AF9" s="115">
        <v>262.39999999999998</v>
      </c>
      <c r="AG9" s="115">
        <v>411</v>
      </c>
      <c r="AH9" s="82">
        <v>543.6</v>
      </c>
      <c r="AI9" s="83">
        <v>123.3</v>
      </c>
      <c r="AJ9" s="115">
        <v>262.39999999999998</v>
      </c>
      <c r="AK9" s="115">
        <v>411</v>
      </c>
      <c r="AL9" s="82">
        <v>543.6</v>
      </c>
      <c r="AM9" s="83">
        <v>125.1</v>
      </c>
      <c r="AN9" s="115">
        <v>246.4</v>
      </c>
      <c r="AO9" s="115">
        <v>372.4</v>
      </c>
      <c r="AP9" s="82">
        <v>519.6</v>
      </c>
      <c r="AQ9" s="83">
        <v>136.80000000000001</v>
      </c>
      <c r="AR9" s="115">
        <v>267.39999999999998</v>
      </c>
      <c r="AS9" s="115"/>
      <c r="AT9" s="82"/>
    </row>
    <row r="10" spans="1:489" s="74" customFormat="1" ht="25.5">
      <c r="A10" s="90" t="s">
        <v>272</v>
      </c>
      <c r="B10" s="283" t="s">
        <v>273</v>
      </c>
      <c r="C10" s="115">
        <v>-1.0999999999999999E-2</v>
      </c>
      <c r="D10" s="115">
        <v>-0.25700000000000001</v>
      </c>
      <c r="E10" s="115">
        <v>-0.48299999999999998</v>
      </c>
      <c r="F10" s="82">
        <v>-0.111</v>
      </c>
      <c r="G10" s="83">
        <v>5.8000000000000003E-2</v>
      </c>
      <c r="H10" s="115">
        <v>7.2999999999999995E-2</v>
      </c>
      <c r="I10" s="115">
        <v>-38.896000000000001</v>
      </c>
      <c r="J10" s="82">
        <v>-35.765000000000001</v>
      </c>
      <c r="K10" s="84">
        <v>-5.2999999999999999E-2</v>
      </c>
      <c r="L10" s="84">
        <v>-0.7</v>
      </c>
      <c r="M10" s="84">
        <v>-2.4</v>
      </c>
      <c r="N10" s="84">
        <v>-2.9</v>
      </c>
      <c r="O10" s="83">
        <v>-0.4</v>
      </c>
      <c r="P10" s="115">
        <v>-4.8</v>
      </c>
      <c r="Q10" s="115">
        <v>-5.7</v>
      </c>
      <c r="R10" s="82">
        <v>-6.9</v>
      </c>
      <c r="S10" s="88" t="s">
        <v>238</v>
      </c>
      <c r="T10" s="116" t="s">
        <v>238</v>
      </c>
      <c r="U10" s="116" t="s">
        <v>238</v>
      </c>
      <c r="V10" s="317" t="s">
        <v>238</v>
      </c>
      <c r="W10" s="88" t="s">
        <v>238</v>
      </c>
      <c r="X10" s="116" t="s">
        <v>238</v>
      </c>
      <c r="Y10" s="116" t="s">
        <v>238</v>
      </c>
      <c r="Z10" s="317" t="s">
        <v>238</v>
      </c>
      <c r="AA10" s="116" t="s">
        <v>238</v>
      </c>
      <c r="AB10" s="116" t="s">
        <v>238</v>
      </c>
      <c r="AC10" s="116" t="s">
        <v>238</v>
      </c>
      <c r="AD10" s="317" t="s">
        <v>238</v>
      </c>
      <c r="AE10" s="116" t="s">
        <v>238</v>
      </c>
      <c r="AF10" s="116" t="s">
        <v>238</v>
      </c>
      <c r="AG10" s="116" t="s">
        <v>238</v>
      </c>
      <c r="AH10" s="317" t="s">
        <v>238</v>
      </c>
      <c r="AI10" s="88" t="s">
        <v>238</v>
      </c>
      <c r="AJ10" s="116" t="s">
        <v>238</v>
      </c>
      <c r="AK10" s="116" t="s">
        <v>238</v>
      </c>
      <c r="AL10" s="317" t="s">
        <v>238</v>
      </c>
      <c r="AM10" s="88" t="s">
        <v>238</v>
      </c>
      <c r="AN10" s="116" t="s">
        <v>238</v>
      </c>
      <c r="AO10" s="116" t="s">
        <v>238</v>
      </c>
      <c r="AP10" s="317" t="s">
        <v>238</v>
      </c>
      <c r="AQ10" s="88" t="s">
        <v>238</v>
      </c>
      <c r="AR10" s="116" t="s">
        <v>238</v>
      </c>
      <c r="AS10" s="116"/>
      <c r="AT10" s="317"/>
    </row>
    <row r="11" spans="1:489" s="74" customFormat="1" ht="20.100000000000001" customHeight="1">
      <c r="A11" s="90" t="s">
        <v>274</v>
      </c>
      <c r="B11" s="283" t="s">
        <v>275</v>
      </c>
      <c r="C11" s="115">
        <v>2.3109999999999999</v>
      </c>
      <c r="D11" s="115">
        <v>4.6020000000000003</v>
      </c>
      <c r="E11" s="115">
        <v>6.1379999999999999</v>
      </c>
      <c r="F11" s="82">
        <v>9.2439999999999998</v>
      </c>
      <c r="G11" s="83">
        <v>3.504</v>
      </c>
      <c r="H11" s="115">
        <v>5.843</v>
      </c>
      <c r="I11" s="115">
        <v>6.3049999999999997</v>
      </c>
      <c r="J11" s="82">
        <v>6.407</v>
      </c>
      <c r="K11" s="84">
        <v>4.1000000000000002E-2</v>
      </c>
      <c r="L11" s="84">
        <v>0.1</v>
      </c>
      <c r="M11" s="84">
        <v>30.4</v>
      </c>
      <c r="N11" s="84">
        <v>30.5</v>
      </c>
      <c r="O11" s="83">
        <v>0.1</v>
      </c>
      <c r="P11" s="115">
        <v>0.5</v>
      </c>
      <c r="Q11" s="115">
        <v>0.5</v>
      </c>
      <c r="R11" s="82">
        <v>1.4</v>
      </c>
      <c r="S11" s="88" t="s">
        <v>238</v>
      </c>
      <c r="T11" s="116" t="s">
        <v>238</v>
      </c>
      <c r="U11" s="116" t="s">
        <v>238</v>
      </c>
      <c r="V11" s="317" t="s">
        <v>238</v>
      </c>
      <c r="W11" s="88" t="s">
        <v>238</v>
      </c>
      <c r="X11" s="116" t="s">
        <v>238</v>
      </c>
      <c r="Y11" s="116" t="s">
        <v>238</v>
      </c>
      <c r="Z11" s="317" t="s">
        <v>238</v>
      </c>
      <c r="AA11" s="116" t="s">
        <v>238</v>
      </c>
      <c r="AB11" s="116" t="s">
        <v>238</v>
      </c>
      <c r="AC11" s="116" t="s">
        <v>238</v>
      </c>
      <c r="AD11" s="317" t="s">
        <v>238</v>
      </c>
      <c r="AE11" s="116" t="s">
        <v>238</v>
      </c>
      <c r="AF11" s="116" t="s">
        <v>238</v>
      </c>
      <c r="AG11" s="116" t="s">
        <v>238</v>
      </c>
      <c r="AH11" s="317" t="s">
        <v>238</v>
      </c>
      <c r="AI11" s="88" t="s">
        <v>238</v>
      </c>
      <c r="AJ11" s="116" t="s">
        <v>238</v>
      </c>
      <c r="AK11" s="116" t="s">
        <v>238</v>
      </c>
      <c r="AL11" s="317" t="s">
        <v>238</v>
      </c>
      <c r="AM11" s="88" t="s">
        <v>238</v>
      </c>
      <c r="AN11" s="116" t="s">
        <v>238</v>
      </c>
      <c r="AO11" s="116" t="s">
        <v>238</v>
      </c>
      <c r="AP11" s="317" t="s">
        <v>238</v>
      </c>
      <c r="AQ11" s="88" t="s">
        <v>238</v>
      </c>
      <c r="AR11" s="116" t="s">
        <v>238</v>
      </c>
      <c r="AS11" s="116"/>
      <c r="AT11" s="317"/>
    </row>
    <row r="12" spans="1:489" s="74" customFormat="1" ht="20.100000000000001" customHeight="1">
      <c r="A12" s="90" t="s">
        <v>276</v>
      </c>
      <c r="B12" s="283" t="s">
        <v>277</v>
      </c>
      <c r="C12" s="115">
        <v>52.017000000000003</v>
      </c>
      <c r="D12" s="115">
        <v>105.822</v>
      </c>
      <c r="E12" s="115">
        <v>156.893</v>
      </c>
      <c r="F12" s="82">
        <v>205.185</v>
      </c>
      <c r="G12" s="83">
        <v>46.368000000000002</v>
      </c>
      <c r="H12" s="115">
        <v>93.388999999999996</v>
      </c>
      <c r="I12" s="115">
        <v>140.42699999999999</v>
      </c>
      <c r="J12" s="82">
        <v>183.81100000000001</v>
      </c>
      <c r="K12" s="84">
        <v>90.381</v>
      </c>
      <c r="L12" s="84">
        <v>248.5</v>
      </c>
      <c r="M12" s="84">
        <v>421.4</v>
      </c>
      <c r="N12" s="84">
        <v>603.70000000000005</v>
      </c>
      <c r="O12" s="83">
        <v>177.4</v>
      </c>
      <c r="P12" s="115">
        <v>348.5</v>
      </c>
      <c r="Q12" s="115">
        <v>581.29999999999995</v>
      </c>
      <c r="R12" s="82">
        <v>763.6</v>
      </c>
      <c r="S12" s="83">
        <v>144.69999999999999</v>
      </c>
      <c r="T12" s="115">
        <v>285.89999999999998</v>
      </c>
      <c r="U12" s="115">
        <v>417.4</v>
      </c>
      <c r="V12" s="82">
        <v>541.9</v>
      </c>
      <c r="W12" s="83">
        <v>114.5</v>
      </c>
      <c r="X12" s="115">
        <v>228.7</v>
      </c>
      <c r="Y12" s="115">
        <v>331.1</v>
      </c>
      <c r="Z12" s="82">
        <v>432.3</v>
      </c>
      <c r="AA12" s="115">
        <v>68.5</v>
      </c>
      <c r="AB12" s="115">
        <v>166.7</v>
      </c>
      <c r="AC12" s="115">
        <v>269</v>
      </c>
      <c r="AD12" s="82">
        <v>401.6</v>
      </c>
      <c r="AE12" s="115">
        <v>94.5</v>
      </c>
      <c r="AF12" s="115">
        <v>189.2</v>
      </c>
      <c r="AG12" s="115">
        <v>291</v>
      </c>
      <c r="AH12" s="82">
        <v>388.2</v>
      </c>
      <c r="AI12" s="83">
        <v>107.2</v>
      </c>
      <c r="AJ12" s="115">
        <v>214.3</v>
      </c>
      <c r="AK12" s="115">
        <v>327.5</v>
      </c>
      <c r="AL12" s="82">
        <v>437.8</v>
      </c>
      <c r="AM12" s="83">
        <v>111.9</v>
      </c>
      <c r="AN12" s="115">
        <v>206.1</v>
      </c>
      <c r="AO12" s="115">
        <v>285.7</v>
      </c>
      <c r="AP12" s="82">
        <v>364.8</v>
      </c>
      <c r="AQ12" s="83">
        <v>78</v>
      </c>
      <c r="AR12" s="115">
        <v>154.9</v>
      </c>
      <c r="AS12" s="115"/>
      <c r="AT12" s="82"/>
    </row>
    <row r="13" spans="1:489" s="74" customFormat="1" ht="20.100000000000001" customHeight="1">
      <c r="A13" s="90" t="s">
        <v>278</v>
      </c>
      <c r="B13" s="283" t="s">
        <v>279</v>
      </c>
      <c r="C13" s="115">
        <v>-7.2490000000000006</v>
      </c>
      <c r="D13" s="115">
        <v>-7.3810000000000002</v>
      </c>
      <c r="E13" s="115">
        <v>1.093</v>
      </c>
      <c r="F13" s="82">
        <v>16.173000000000002</v>
      </c>
      <c r="G13" s="83">
        <v>11.273</v>
      </c>
      <c r="H13" s="115">
        <v>4.4740000000000002</v>
      </c>
      <c r="I13" s="115">
        <v>5.9119999999999999</v>
      </c>
      <c r="J13" s="82">
        <v>14.839</v>
      </c>
      <c r="K13" s="84">
        <v>-16.302</v>
      </c>
      <c r="L13" s="84">
        <v>-41.8</v>
      </c>
      <c r="M13" s="84">
        <v>-14.7</v>
      </c>
      <c r="N13" s="84">
        <v>0.5</v>
      </c>
      <c r="O13" s="83">
        <v>48.6</v>
      </c>
      <c r="P13" s="115">
        <v>45.6</v>
      </c>
      <c r="Q13" s="115">
        <v>43.3</v>
      </c>
      <c r="R13" s="82">
        <v>26.4</v>
      </c>
      <c r="S13" s="83">
        <v>21.5</v>
      </c>
      <c r="T13" s="115">
        <v>11.7</v>
      </c>
      <c r="U13" s="115">
        <v>0.7</v>
      </c>
      <c r="V13" s="82">
        <v>3</v>
      </c>
      <c r="W13" s="83">
        <v>41.5</v>
      </c>
      <c r="X13" s="115">
        <v>-0.3</v>
      </c>
      <c r="Y13" s="115">
        <v>-16.899999999999999</v>
      </c>
      <c r="Z13" s="82">
        <v>-5</v>
      </c>
      <c r="AA13" s="115">
        <v>7.7</v>
      </c>
      <c r="AB13" s="115">
        <v>-45.1</v>
      </c>
      <c r="AC13" s="115">
        <v>-70.8</v>
      </c>
      <c r="AD13" s="82">
        <v>-77.2</v>
      </c>
      <c r="AE13" s="115">
        <v>60.3</v>
      </c>
      <c r="AF13" s="115">
        <v>51.4</v>
      </c>
      <c r="AG13" s="115">
        <v>36.299999999999997</v>
      </c>
      <c r="AH13" s="82">
        <v>89.1</v>
      </c>
      <c r="AI13" s="83">
        <v>60.3</v>
      </c>
      <c r="AJ13" s="115">
        <v>51.4</v>
      </c>
      <c r="AK13" s="115">
        <v>36.299999999999997</v>
      </c>
      <c r="AL13" s="82">
        <v>89.1</v>
      </c>
      <c r="AM13" s="83">
        <v>-85.7</v>
      </c>
      <c r="AN13" s="115">
        <v>-190.2</v>
      </c>
      <c r="AO13" s="115">
        <v>-96.4</v>
      </c>
      <c r="AP13" s="82">
        <v>13.2</v>
      </c>
      <c r="AQ13" s="83">
        <v>-5.4</v>
      </c>
      <c r="AR13" s="115">
        <v>-139.6</v>
      </c>
      <c r="AS13" s="115"/>
      <c r="AT13" s="82"/>
    </row>
    <row r="14" spans="1:489" s="74" customFormat="1" ht="20.100000000000001" customHeight="1">
      <c r="A14" s="90" t="s">
        <v>280</v>
      </c>
      <c r="B14" s="283" t="s">
        <v>281</v>
      </c>
      <c r="C14" s="115">
        <v>-48.496000000000002</v>
      </c>
      <c r="D14" s="115">
        <v>-85.073000000000008</v>
      </c>
      <c r="E14" s="115">
        <v>-90.59</v>
      </c>
      <c r="F14" s="82">
        <v>-106.816</v>
      </c>
      <c r="G14" s="83">
        <v>-18.654</v>
      </c>
      <c r="H14" s="115">
        <v>-16.358000000000001</v>
      </c>
      <c r="I14" s="115">
        <v>16.681000000000001</v>
      </c>
      <c r="J14" s="82">
        <v>60.908000000000001</v>
      </c>
      <c r="K14" s="84">
        <v>-5.1610000000000005</v>
      </c>
      <c r="L14" s="84">
        <v>-29.2</v>
      </c>
      <c r="M14" s="84">
        <v>-87.6</v>
      </c>
      <c r="N14" s="84">
        <v>-191.9</v>
      </c>
      <c r="O14" s="83">
        <v>-211.8</v>
      </c>
      <c r="P14" s="115">
        <v>-581.20000000000005</v>
      </c>
      <c r="Q14" s="115">
        <v>-349.3</v>
      </c>
      <c r="R14" s="82">
        <v>-478.2</v>
      </c>
      <c r="S14" s="83">
        <v>-33.9</v>
      </c>
      <c r="T14" s="115">
        <v>-105.3</v>
      </c>
      <c r="U14" s="115">
        <v>-164.6</v>
      </c>
      <c r="V14" s="82">
        <v>-329.9</v>
      </c>
      <c r="W14" s="83">
        <v>21.5</v>
      </c>
      <c r="X14" s="115">
        <v>-112.7</v>
      </c>
      <c r="Y14" s="115">
        <v>-224.5</v>
      </c>
      <c r="Z14" s="82">
        <v>-470.8</v>
      </c>
      <c r="AA14" s="115">
        <v>38.1</v>
      </c>
      <c r="AB14" s="115">
        <v>-516.5</v>
      </c>
      <c r="AC14" s="115">
        <v>-266.89999999999998</v>
      </c>
      <c r="AD14" s="82">
        <v>-289.10000000000002</v>
      </c>
      <c r="AE14" s="115">
        <v>155.9</v>
      </c>
      <c r="AF14" s="115">
        <v>8.1</v>
      </c>
      <c r="AG14" s="115">
        <v>-51.3</v>
      </c>
      <c r="AH14" s="82">
        <v>-312.5</v>
      </c>
      <c r="AI14" s="83">
        <v>158.4</v>
      </c>
      <c r="AJ14" s="115">
        <v>12.4</v>
      </c>
      <c r="AK14" s="115">
        <v>-48.3</v>
      </c>
      <c r="AL14" s="82">
        <v>-311.8</v>
      </c>
      <c r="AM14" s="83">
        <v>185.1</v>
      </c>
      <c r="AN14" s="115">
        <v>293.7</v>
      </c>
      <c r="AO14" s="115">
        <v>194.2</v>
      </c>
      <c r="AP14" s="82">
        <v>119.3</v>
      </c>
      <c r="AQ14" s="83">
        <v>-48.2</v>
      </c>
      <c r="AR14" s="115">
        <v>3.7</v>
      </c>
      <c r="AS14" s="115"/>
      <c r="AT14" s="82"/>
    </row>
    <row r="15" spans="1:489" s="74" customFormat="1" ht="20.100000000000001" customHeight="1">
      <c r="A15" s="284" t="s">
        <v>282</v>
      </c>
      <c r="B15" s="285" t="s">
        <v>283</v>
      </c>
      <c r="C15" s="115">
        <v>53.564</v>
      </c>
      <c r="D15" s="115">
        <v>51.881</v>
      </c>
      <c r="E15" s="115">
        <v>66.406999999999996</v>
      </c>
      <c r="F15" s="82">
        <v>67.872</v>
      </c>
      <c r="G15" s="83">
        <v>-36.840000000000003</v>
      </c>
      <c r="H15" s="115">
        <v>-56.231999999999999</v>
      </c>
      <c r="I15" s="115">
        <v>-85.896000000000001</v>
      </c>
      <c r="J15" s="82">
        <v>-104.93900000000001</v>
      </c>
      <c r="K15" s="84">
        <v>31.469000000000001</v>
      </c>
      <c r="L15" s="84">
        <v>-73.8</v>
      </c>
      <c r="M15" s="84">
        <v>-175.9</v>
      </c>
      <c r="N15" s="84">
        <v>-277.7</v>
      </c>
      <c r="O15" s="83">
        <v>-216.1</v>
      </c>
      <c r="P15" s="115">
        <v>69.3</v>
      </c>
      <c r="Q15" s="115">
        <v>-184.3</v>
      </c>
      <c r="R15" s="82">
        <v>-118</v>
      </c>
      <c r="S15" s="83">
        <v>-205.9</v>
      </c>
      <c r="T15" s="115">
        <v>-106.7</v>
      </c>
      <c r="U15" s="115">
        <v>-141.30000000000001</v>
      </c>
      <c r="V15" s="82">
        <v>-33.299999999999997</v>
      </c>
      <c r="W15" s="83">
        <v>-181.5</v>
      </c>
      <c r="X15" s="115">
        <v>-112.9</v>
      </c>
      <c r="Y15" s="115">
        <v>-90.1</v>
      </c>
      <c r="Z15" s="82">
        <v>183.1</v>
      </c>
      <c r="AA15" s="115">
        <v>-259.2</v>
      </c>
      <c r="AB15" s="115">
        <v>125.8</v>
      </c>
      <c r="AC15" s="115">
        <v>88</v>
      </c>
      <c r="AD15" s="82">
        <v>-44.2</v>
      </c>
      <c r="AE15" s="115">
        <v>-379.7</v>
      </c>
      <c r="AF15" s="115">
        <v>-183.1</v>
      </c>
      <c r="AG15" s="115">
        <v>-163.69999999999999</v>
      </c>
      <c r="AH15" s="82">
        <v>64.8</v>
      </c>
      <c r="AI15" s="83">
        <v>-439.5</v>
      </c>
      <c r="AJ15" s="115">
        <v>-264.7</v>
      </c>
      <c r="AK15" s="115">
        <v>-266.8</v>
      </c>
      <c r="AL15" s="82">
        <v>-25.7</v>
      </c>
      <c r="AM15" s="83">
        <v>-138.9</v>
      </c>
      <c r="AN15" s="115">
        <v>-265.5</v>
      </c>
      <c r="AO15" s="115">
        <v>-408.2</v>
      </c>
      <c r="AP15" s="82">
        <v>-401.3</v>
      </c>
      <c r="AQ15" s="83">
        <v>-2.1</v>
      </c>
      <c r="AR15" s="115">
        <v>-78.3</v>
      </c>
      <c r="AS15" s="115"/>
      <c r="AT15" s="82"/>
    </row>
    <row r="16" spans="1:489" s="74" customFormat="1" ht="20.100000000000001" customHeight="1">
      <c r="A16" s="90" t="s">
        <v>284</v>
      </c>
      <c r="B16" s="283" t="s">
        <v>285</v>
      </c>
      <c r="C16" s="115"/>
      <c r="D16" s="115"/>
      <c r="E16" s="115"/>
      <c r="F16" s="82"/>
      <c r="G16" s="83"/>
      <c r="H16" s="115"/>
      <c r="I16" s="115"/>
      <c r="J16" s="82"/>
      <c r="K16" s="84"/>
      <c r="L16" s="84"/>
      <c r="M16" s="84"/>
      <c r="N16" s="84"/>
      <c r="O16" s="83"/>
      <c r="P16" s="115"/>
      <c r="Q16" s="115"/>
      <c r="R16" s="82"/>
      <c r="S16" s="83"/>
      <c r="T16" s="115"/>
      <c r="U16" s="115"/>
      <c r="V16" s="82"/>
      <c r="W16" s="83"/>
      <c r="X16" s="115"/>
      <c r="Y16" s="115"/>
      <c r="Z16" s="82"/>
      <c r="AA16" s="115">
        <v>29.6</v>
      </c>
      <c r="AB16" s="115">
        <v>48.1</v>
      </c>
      <c r="AC16" s="115">
        <v>55.2</v>
      </c>
      <c r="AD16" s="82">
        <v>47.8</v>
      </c>
      <c r="AE16" s="115">
        <v>-9.1999999999999993</v>
      </c>
      <c r="AF16" s="115">
        <v>-3.3</v>
      </c>
      <c r="AG16" s="115">
        <v>9.1999999999999993</v>
      </c>
      <c r="AH16" s="82">
        <v>9.6999999999999993</v>
      </c>
      <c r="AI16" s="83">
        <v>-9.1999999999999993</v>
      </c>
      <c r="AJ16" s="115">
        <v>-3.3</v>
      </c>
      <c r="AK16" s="115">
        <v>9.1999999999999993</v>
      </c>
      <c r="AL16" s="82">
        <v>9.6999999999999993</v>
      </c>
      <c r="AM16" s="83">
        <v>10.6</v>
      </c>
      <c r="AN16" s="115">
        <v>46.2</v>
      </c>
      <c r="AO16" s="115">
        <v>71.2</v>
      </c>
      <c r="AP16" s="82">
        <v>101</v>
      </c>
      <c r="AQ16" s="83">
        <v>32.1</v>
      </c>
      <c r="AR16" s="115">
        <v>61.5</v>
      </c>
      <c r="AS16" s="115"/>
      <c r="AT16" s="82"/>
    </row>
    <row r="17" spans="1:46" s="74" customFormat="1" ht="20.100000000000001" customHeight="1">
      <c r="A17" s="90" t="s">
        <v>286</v>
      </c>
      <c r="B17" s="283" t="s">
        <v>287</v>
      </c>
      <c r="C17" s="115"/>
      <c r="D17" s="115"/>
      <c r="E17" s="115"/>
      <c r="F17" s="82"/>
      <c r="G17" s="83"/>
      <c r="H17" s="115"/>
      <c r="I17" s="115"/>
      <c r="J17" s="82"/>
      <c r="K17" s="84"/>
      <c r="L17" s="84"/>
      <c r="M17" s="84"/>
      <c r="N17" s="84"/>
      <c r="O17" s="83"/>
      <c r="P17" s="115"/>
      <c r="Q17" s="115"/>
      <c r="R17" s="82"/>
      <c r="S17" s="83"/>
      <c r="T17" s="115"/>
      <c r="U17" s="115"/>
      <c r="V17" s="82"/>
      <c r="W17" s="83"/>
      <c r="X17" s="115"/>
      <c r="Y17" s="115"/>
      <c r="Z17" s="82"/>
      <c r="AA17" s="115">
        <v>-9.6</v>
      </c>
      <c r="AB17" s="115">
        <v>39.5</v>
      </c>
      <c r="AC17" s="115">
        <v>43.2</v>
      </c>
      <c r="AD17" s="82">
        <v>107.6</v>
      </c>
      <c r="AE17" s="115">
        <v>17.399999999999999</v>
      </c>
      <c r="AF17" s="115">
        <v>7</v>
      </c>
      <c r="AG17" s="115">
        <v>24.4</v>
      </c>
      <c r="AH17" s="82">
        <v>7.9</v>
      </c>
      <c r="AI17" s="83">
        <v>17.399999999999999</v>
      </c>
      <c r="AJ17" s="115">
        <v>7</v>
      </c>
      <c r="AK17" s="115">
        <v>24.4</v>
      </c>
      <c r="AL17" s="82">
        <v>7.9</v>
      </c>
      <c r="AM17" s="83">
        <v>12</v>
      </c>
      <c r="AN17" s="115">
        <v>-26.7</v>
      </c>
      <c r="AO17" s="115">
        <v>-41.4</v>
      </c>
      <c r="AP17" s="82">
        <v>-37.5</v>
      </c>
      <c r="AQ17" s="83">
        <v>-12.5</v>
      </c>
      <c r="AR17" s="115">
        <v>-28.9</v>
      </c>
      <c r="AS17" s="115"/>
      <c r="AT17" s="82"/>
    </row>
    <row r="18" spans="1:46" s="74" customFormat="1" ht="25.5">
      <c r="A18" s="90" t="s">
        <v>288</v>
      </c>
      <c r="B18" s="283" t="s">
        <v>289</v>
      </c>
      <c r="C18" s="115">
        <v>-0.186</v>
      </c>
      <c r="D18" s="115">
        <v>4.0730000000000004</v>
      </c>
      <c r="E18" s="115">
        <v>0.502</v>
      </c>
      <c r="F18" s="82">
        <v>2.093</v>
      </c>
      <c r="G18" s="83">
        <v>-1.048</v>
      </c>
      <c r="H18" s="115">
        <v>2.4170000000000003</v>
      </c>
      <c r="I18" s="115">
        <v>-3.5390000000000001</v>
      </c>
      <c r="J18" s="82">
        <v>6.4770000000000003</v>
      </c>
      <c r="K18" s="84">
        <v>-13.309000000000001</v>
      </c>
      <c r="L18" s="84">
        <v>-1.5</v>
      </c>
      <c r="M18" s="84">
        <v>-17.399999999999999</v>
      </c>
      <c r="N18" s="84">
        <v>-4.9000000000000004</v>
      </c>
      <c r="O18" s="83">
        <v>-11.7</v>
      </c>
      <c r="P18" s="115">
        <v>-7.6</v>
      </c>
      <c r="Q18" s="115">
        <v>-17.7</v>
      </c>
      <c r="R18" s="82">
        <v>-3.9</v>
      </c>
      <c r="S18" s="83">
        <v>-11.1</v>
      </c>
      <c r="T18" s="115">
        <v>1</v>
      </c>
      <c r="U18" s="115">
        <v>-5.6</v>
      </c>
      <c r="V18" s="82">
        <v>-6.1</v>
      </c>
      <c r="W18" s="88" t="s">
        <v>238</v>
      </c>
      <c r="X18" s="115">
        <v>9.4</v>
      </c>
      <c r="Y18" s="115">
        <v>1.4</v>
      </c>
      <c r="Z18" s="82">
        <v>3.9</v>
      </c>
      <c r="AA18" s="116" t="s">
        <v>238</v>
      </c>
      <c r="AB18" s="116" t="s">
        <v>238</v>
      </c>
      <c r="AC18" s="116" t="s">
        <v>238</v>
      </c>
      <c r="AD18" s="317" t="s">
        <v>238</v>
      </c>
      <c r="AE18" s="116" t="s">
        <v>238</v>
      </c>
      <c r="AF18" s="116" t="s">
        <v>238</v>
      </c>
      <c r="AG18" s="116" t="s">
        <v>238</v>
      </c>
      <c r="AH18" s="317" t="s">
        <v>238</v>
      </c>
      <c r="AI18" s="88" t="s">
        <v>238</v>
      </c>
      <c r="AJ18" s="116" t="s">
        <v>238</v>
      </c>
      <c r="AK18" s="116" t="s">
        <v>238</v>
      </c>
      <c r="AL18" s="317" t="s">
        <v>238</v>
      </c>
      <c r="AM18" s="88" t="s">
        <v>238</v>
      </c>
      <c r="AN18" s="116" t="s">
        <v>238</v>
      </c>
      <c r="AO18" s="116" t="s">
        <v>238</v>
      </c>
      <c r="AP18" s="317" t="s">
        <v>238</v>
      </c>
      <c r="AQ18" s="88" t="s">
        <v>238</v>
      </c>
      <c r="AR18" s="116" t="s">
        <v>238</v>
      </c>
      <c r="AS18" s="116"/>
      <c r="AT18" s="317"/>
    </row>
    <row r="19" spans="1:46" s="74" customFormat="1" ht="20.100000000000001" customHeight="1">
      <c r="A19" s="90" t="s">
        <v>290</v>
      </c>
      <c r="B19" s="283" t="s">
        <v>291</v>
      </c>
      <c r="C19" s="115">
        <v>-9.7880000000000003</v>
      </c>
      <c r="D19" s="115">
        <v>-10.354000000000001</v>
      </c>
      <c r="E19" s="115">
        <v>-21.978000000000002</v>
      </c>
      <c r="F19" s="82">
        <v>-31.345000000000002</v>
      </c>
      <c r="G19" s="83">
        <v>3.66</v>
      </c>
      <c r="H19" s="115">
        <v>9.0690000000000008</v>
      </c>
      <c r="I19" s="115">
        <v>11.329000000000001</v>
      </c>
      <c r="J19" s="82">
        <v>14.404</v>
      </c>
      <c r="K19" s="84">
        <v>11.066000000000001</v>
      </c>
      <c r="L19" s="84">
        <v>11.1</v>
      </c>
      <c r="M19" s="84">
        <v>-0.2</v>
      </c>
      <c r="N19" s="84">
        <v>-3.9</v>
      </c>
      <c r="O19" s="83">
        <v>-0.6</v>
      </c>
      <c r="P19" s="115">
        <v>5.3</v>
      </c>
      <c r="Q19" s="115">
        <v>4.8</v>
      </c>
      <c r="R19" s="82">
        <v>6.6</v>
      </c>
      <c r="S19" s="83">
        <v>2.5</v>
      </c>
      <c r="T19" s="115">
        <v>4.7</v>
      </c>
      <c r="U19" s="115">
        <v>7.3</v>
      </c>
      <c r="V19" s="82">
        <v>9.8000000000000007</v>
      </c>
      <c r="W19" s="88" t="s">
        <v>238</v>
      </c>
      <c r="X19" s="116" t="s">
        <v>238</v>
      </c>
      <c r="Y19" s="116" t="s">
        <v>238</v>
      </c>
      <c r="Z19" s="317" t="s">
        <v>238</v>
      </c>
      <c r="AA19" s="116" t="s">
        <v>238</v>
      </c>
      <c r="AB19" s="116" t="s">
        <v>238</v>
      </c>
      <c r="AC19" s="116" t="s">
        <v>238</v>
      </c>
      <c r="AD19" s="317" t="s">
        <v>238</v>
      </c>
      <c r="AE19" s="116" t="s">
        <v>238</v>
      </c>
      <c r="AF19" s="116" t="s">
        <v>238</v>
      </c>
      <c r="AG19" s="116" t="s">
        <v>238</v>
      </c>
      <c r="AH19" s="317" t="s">
        <v>238</v>
      </c>
      <c r="AI19" s="88" t="s">
        <v>238</v>
      </c>
      <c r="AJ19" s="116" t="s">
        <v>238</v>
      </c>
      <c r="AK19" s="116" t="s">
        <v>238</v>
      </c>
      <c r="AL19" s="317" t="s">
        <v>238</v>
      </c>
      <c r="AM19" s="88" t="s">
        <v>238</v>
      </c>
      <c r="AN19" s="116" t="s">
        <v>238</v>
      </c>
      <c r="AO19" s="116" t="s">
        <v>238</v>
      </c>
      <c r="AP19" s="317" t="s">
        <v>238</v>
      </c>
      <c r="AQ19" s="88" t="s">
        <v>238</v>
      </c>
      <c r="AR19" s="116" t="s">
        <v>238</v>
      </c>
      <c r="AS19" s="116"/>
      <c r="AT19" s="317"/>
    </row>
    <row r="20" spans="1:46" s="74" customFormat="1" ht="25.5">
      <c r="A20" s="90" t="s">
        <v>292</v>
      </c>
      <c r="B20" s="283" t="s">
        <v>293</v>
      </c>
      <c r="C20" s="115">
        <v>-0.73</v>
      </c>
      <c r="D20" s="115">
        <v>-1.5010000000000001</v>
      </c>
      <c r="E20" s="115">
        <v>-2.044</v>
      </c>
      <c r="F20" s="82">
        <v>-2.8970000000000002</v>
      </c>
      <c r="G20" s="83">
        <v>-0.76200000000000001</v>
      </c>
      <c r="H20" s="115">
        <v>-1.58</v>
      </c>
      <c r="I20" s="115">
        <v>-2.3290000000000002</v>
      </c>
      <c r="J20" s="82">
        <v>-2.9239999999999999</v>
      </c>
      <c r="K20" s="84">
        <v>-0.63300000000000001</v>
      </c>
      <c r="L20" s="84">
        <v>-1.3</v>
      </c>
      <c r="M20" s="84">
        <v>-2</v>
      </c>
      <c r="N20" s="84">
        <v>-2.6</v>
      </c>
      <c r="O20" s="83">
        <v>-0.5</v>
      </c>
      <c r="P20" s="115">
        <v>-1.4</v>
      </c>
      <c r="Q20" s="115">
        <v>-1.9</v>
      </c>
      <c r="R20" s="82">
        <v>-2.6</v>
      </c>
      <c r="S20" s="83">
        <v>-0.8</v>
      </c>
      <c r="T20" s="115">
        <v>0</v>
      </c>
      <c r="U20" s="115">
        <v>0</v>
      </c>
      <c r="V20" s="82">
        <v>0</v>
      </c>
      <c r="W20" s="88" t="s">
        <v>238</v>
      </c>
      <c r="X20" s="116" t="s">
        <v>238</v>
      </c>
      <c r="Y20" s="116" t="s">
        <v>238</v>
      </c>
      <c r="Z20" s="317" t="s">
        <v>238</v>
      </c>
      <c r="AA20" s="116" t="s">
        <v>238</v>
      </c>
      <c r="AB20" s="116" t="s">
        <v>238</v>
      </c>
      <c r="AC20" s="116" t="s">
        <v>238</v>
      </c>
      <c r="AD20" s="317" t="s">
        <v>238</v>
      </c>
      <c r="AE20" s="116" t="s">
        <v>238</v>
      </c>
      <c r="AF20" s="116" t="s">
        <v>238</v>
      </c>
      <c r="AG20" s="116" t="s">
        <v>238</v>
      </c>
      <c r="AH20" s="317" t="s">
        <v>238</v>
      </c>
      <c r="AI20" s="88" t="s">
        <v>238</v>
      </c>
      <c r="AJ20" s="116" t="s">
        <v>238</v>
      </c>
      <c r="AK20" s="116" t="s">
        <v>238</v>
      </c>
      <c r="AL20" s="317" t="s">
        <v>238</v>
      </c>
      <c r="AM20" s="88" t="s">
        <v>238</v>
      </c>
      <c r="AN20" s="116" t="s">
        <v>238</v>
      </c>
      <c r="AO20" s="116" t="s">
        <v>238</v>
      </c>
      <c r="AP20" s="317" t="s">
        <v>238</v>
      </c>
      <c r="AQ20" s="88" t="s">
        <v>238</v>
      </c>
      <c r="AR20" s="116" t="s">
        <v>238</v>
      </c>
      <c r="AS20" s="116"/>
      <c r="AT20" s="317"/>
    </row>
    <row r="21" spans="1:46" s="74" customFormat="1" ht="25.5">
      <c r="A21" s="284" t="s">
        <v>294</v>
      </c>
      <c r="B21" s="285" t="s">
        <v>295</v>
      </c>
      <c r="C21" s="115">
        <v>-0.73</v>
      </c>
      <c r="D21" s="115"/>
      <c r="E21" s="115"/>
      <c r="F21" s="82"/>
      <c r="G21" s="83"/>
      <c r="H21" s="115"/>
      <c r="I21" s="115"/>
      <c r="J21" s="82"/>
      <c r="K21" s="84"/>
      <c r="L21" s="84"/>
      <c r="M21" s="84"/>
      <c r="N21" s="84"/>
      <c r="O21" s="83"/>
      <c r="P21" s="115"/>
      <c r="Q21" s="115"/>
      <c r="R21" s="82"/>
      <c r="S21" s="83"/>
      <c r="T21" s="115"/>
      <c r="U21" s="115"/>
      <c r="V21" s="82">
        <v>0</v>
      </c>
      <c r="W21" s="88"/>
      <c r="X21" s="116"/>
      <c r="Y21" s="116"/>
      <c r="Z21" s="82">
        <v>-2.8</v>
      </c>
      <c r="AA21" s="115">
        <v>-5.2</v>
      </c>
      <c r="AB21" s="115">
        <v>-5.0999999999999996</v>
      </c>
      <c r="AC21" s="115">
        <v>-1.6</v>
      </c>
      <c r="AD21" s="82">
        <v>1.2</v>
      </c>
      <c r="AE21" s="115">
        <v>1.7</v>
      </c>
      <c r="AF21" s="115">
        <v>3.6</v>
      </c>
      <c r="AG21" s="115">
        <v>4.9000000000000004</v>
      </c>
      <c r="AH21" s="82">
        <v>6.5</v>
      </c>
      <c r="AI21" s="83">
        <v>1.7</v>
      </c>
      <c r="AJ21" s="115">
        <v>3.6</v>
      </c>
      <c r="AK21" s="115">
        <v>4.9000000000000004</v>
      </c>
      <c r="AL21" s="82">
        <v>6.5</v>
      </c>
      <c r="AM21" s="83">
        <v>-16.3</v>
      </c>
      <c r="AN21" s="115">
        <v>-34.1</v>
      </c>
      <c r="AO21" s="115">
        <v>-47.6</v>
      </c>
      <c r="AP21" s="82">
        <v>-2</v>
      </c>
      <c r="AQ21" s="83">
        <v>-16.5</v>
      </c>
      <c r="AR21" s="115">
        <v>-41.5</v>
      </c>
      <c r="AS21" s="115"/>
      <c r="AT21" s="82"/>
    </row>
    <row r="22" spans="1:46" s="74" customFormat="1" ht="20.100000000000001" customHeight="1">
      <c r="A22" s="90" t="s">
        <v>296</v>
      </c>
      <c r="B22" s="283" t="s">
        <v>297</v>
      </c>
      <c r="C22" s="115">
        <v>-87.786000000000001</v>
      </c>
      <c r="D22" s="115">
        <v>-51.798000000000002</v>
      </c>
      <c r="E22" s="115">
        <v>-102.06700000000001</v>
      </c>
      <c r="F22" s="82">
        <v>-111.07600000000001</v>
      </c>
      <c r="G22" s="83">
        <v>25.975999999999999</v>
      </c>
      <c r="H22" s="115">
        <v>77.412999999999997</v>
      </c>
      <c r="I22" s="115">
        <v>39.252000000000002</v>
      </c>
      <c r="J22" s="82">
        <v>16.294</v>
      </c>
      <c r="K22" s="84">
        <v>10.337</v>
      </c>
      <c r="L22" s="84">
        <v>8.8000000000000007</v>
      </c>
      <c r="M22" s="84">
        <v>164.9</v>
      </c>
      <c r="N22" s="84">
        <v>369.9</v>
      </c>
      <c r="O22" s="83">
        <v>37.1</v>
      </c>
      <c r="P22" s="115">
        <v>99.2</v>
      </c>
      <c r="Q22" s="115">
        <v>135.80000000000001</v>
      </c>
      <c r="R22" s="82">
        <v>222</v>
      </c>
      <c r="S22" s="83">
        <v>250.2</v>
      </c>
      <c r="T22" s="115">
        <v>276.10000000000002</v>
      </c>
      <c r="U22" s="115">
        <v>258.3</v>
      </c>
      <c r="V22" s="82">
        <v>270.89999999999998</v>
      </c>
      <c r="W22" s="83">
        <v>-28.4</v>
      </c>
      <c r="X22" s="115">
        <v>-27.4</v>
      </c>
      <c r="Y22" s="115">
        <v>-15.1</v>
      </c>
      <c r="Z22" s="82">
        <v>-31.1</v>
      </c>
      <c r="AA22" s="115">
        <v>4.5999999999999996</v>
      </c>
      <c r="AB22" s="115">
        <v>24.1</v>
      </c>
      <c r="AC22" s="115">
        <v>11.1</v>
      </c>
      <c r="AD22" s="82">
        <v>15.8</v>
      </c>
      <c r="AE22" s="115">
        <v>1.1000000000000001</v>
      </c>
      <c r="AF22" s="115">
        <v>-3.3</v>
      </c>
      <c r="AG22" s="115">
        <v>5.7</v>
      </c>
      <c r="AH22" s="82">
        <v>-2.2999999999999998</v>
      </c>
      <c r="AI22" s="83">
        <v>1.9</v>
      </c>
      <c r="AJ22" s="115">
        <v>-6.3</v>
      </c>
      <c r="AK22" s="115">
        <v>12.2</v>
      </c>
      <c r="AL22" s="82">
        <v>-4.8</v>
      </c>
      <c r="AM22" s="83">
        <v>41.2</v>
      </c>
      <c r="AN22" s="115">
        <v>29.4</v>
      </c>
      <c r="AO22" s="115">
        <v>35.9</v>
      </c>
      <c r="AP22" s="82">
        <v>45.8</v>
      </c>
      <c r="AQ22" s="83">
        <v>8.3000000000000007</v>
      </c>
      <c r="AR22" s="115">
        <v>-9.1</v>
      </c>
      <c r="AS22" s="115"/>
      <c r="AT22" s="82"/>
    </row>
    <row r="23" spans="1:46" s="74" customFormat="1" ht="20.100000000000001" customHeight="1">
      <c r="A23" s="90" t="s">
        <v>298</v>
      </c>
      <c r="B23" s="283" t="s">
        <v>57</v>
      </c>
      <c r="C23" s="115">
        <v>41.158999999999999</v>
      </c>
      <c r="D23" s="115">
        <v>54.56</v>
      </c>
      <c r="E23" s="115">
        <v>80.768000000000001</v>
      </c>
      <c r="F23" s="82">
        <v>97.349000000000004</v>
      </c>
      <c r="G23" s="83">
        <v>14.031000000000001</v>
      </c>
      <c r="H23" s="115">
        <v>27.457000000000001</v>
      </c>
      <c r="I23" s="115">
        <v>51.835000000000001</v>
      </c>
      <c r="J23" s="82">
        <v>67.376000000000005</v>
      </c>
      <c r="K23" s="84">
        <v>14.384</v>
      </c>
      <c r="L23" s="84">
        <v>31.1</v>
      </c>
      <c r="M23" s="84">
        <v>32.200000000000003</v>
      </c>
      <c r="N23" s="84">
        <v>21.7</v>
      </c>
      <c r="O23" s="83">
        <v>26</v>
      </c>
      <c r="P23" s="115">
        <v>71.900000000000006</v>
      </c>
      <c r="Q23" s="115">
        <v>182.7</v>
      </c>
      <c r="R23" s="82">
        <v>169</v>
      </c>
      <c r="S23" s="83">
        <v>27.2</v>
      </c>
      <c r="T23" s="115">
        <v>48.4</v>
      </c>
      <c r="U23" s="115">
        <v>113.5</v>
      </c>
      <c r="V23" s="82">
        <v>12.4</v>
      </c>
      <c r="W23" s="83">
        <v>30.8</v>
      </c>
      <c r="X23" s="115">
        <v>138.4</v>
      </c>
      <c r="Y23" s="115">
        <v>192.6</v>
      </c>
      <c r="Z23" s="82">
        <v>389.8</v>
      </c>
      <c r="AA23" s="115">
        <v>72.5</v>
      </c>
      <c r="AB23" s="115">
        <v>171.8</v>
      </c>
      <c r="AC23" s="115">
        <v>247.8</v>
      </c>
      <c r="AD23" s="82">
        <v>490</v>
      </c>
      <c r="AE23" s="115">
        <v>78</v>
      </c>
      <c r="AF23" s="115">
        <v>164.9</v>
      </c>
      <c r="AG23" s="115">
        <v>236.9</v>
      </c>
      <c r="AH23" s="82">
        <v>355.8</v>
      </c>
      <c r="AI23" s="83">
        <v>77.3</v>
      </c>
      <c r="AJ23" s="115">
        <v>163.80000000000001</v>
      </c>
      <c r="AK23" s="115">
        <v>233.3</v>
      </c>
      <c r="AL23" s="82">
        <v>353</v>
      </c>
      <c r="AM23" s="83">
        <v>66.7</v>
      </c>
      <c r="AN23" s="115">
        <v>139</v>
      </c>
      <c r="AO23" s="115">
        <v>220.6</v>
      </c>
      <c r="AP23" s="82">
        <v>295.89999999999998</v>
      </c>
      <c r="AQ23" s="83">
        <v>108.1</v>
      </c>
      <c r="AR23" s="115">
        <v>222.4</v>
      </c>
      <c r="AS23" s="115"/>
      <c r="AT23" s="82"/>
    </row>
    <row r="24" spans="1:46" s="74" customFormat="1" ht="20.100000000000001" customHeight="1">
      <c r="A24" s="90" t="s">
        <v>299</v>
      </c>
      <c r="B24" s="285" t="s">
        <v>300</v>
      </c>
      <c r="C24" s="115">
        <v>-38.363</v>
      </c>
      <c r="D24" s="115">
        <v>-76.626000000000005</v>
      </c>
      <c r="E24" s="115">
        <v>-120.02500000000001</v>
      </c>
      <c r="F24" s="82">
        <v>-164.00800000000001</v>
      </c>
      <c r="G24" s="83">
        <v>-40.92</v>
      </c>
      <c r="H24" s="115">
        <v>-81.858999999999995</v>
      </c>
      <c r="I24" s="115">
        <v>-116.813</v>
      </c>
      <c r="J24" s="82">
        <v>-158.85900000000001</v>
      </c>
      <c r="K24" s="84">
        <v>-30.564</v>
      </c>
      <c r="L24" s="84">
        <v>-65.3</v>
      </c>
      <c r="M24" s="84">
        <v>-142.1</v>
      </c>
      <c r="N24" s="84">
        <v>-193.1</v>
      </c>
      <c r="O24" s="83">
        <v>-43.6</v>
      </c>
      <c r="P24" s="115">
        <v>-72.2</v>
      </c>
      <c r="Q24" s="115">
        <v>-96.7</v>
      </c>
      <c r="R24" s="82">
        <v>-134.69999999999999</v>
      </c>
      <c r="S24" s="83">
        <v>-31.1</v>
      </c>
      <c r="T24" s="115">
        <v>-71.2</v>
      </c>
      <c r="U24" s="115">
        <v>-111</v>
      </c>
      <c r="V24" s="82">
        <v>-153</v>
      </c>
      <c r="W24" s="83">
        <v>-33.1</v>
      </c>
      <c r="X24" s="115">
        <v>-65.599999999999994</v>
      </c>
      <c r="Y24" s="115">
        <v>-97.4</v>
      </c>
      <c r="Z24" s="82">
        <v>-137.5</v>
      </c>
      <c r="AA24" s="115">
        <v>-25.7</v>
      </c>
      <c r="AB24" s="115">
        <v>-42.9</v>
      </c>
      <c r="AC24" s="115">
        <v>-61.2</v>
      </c>
      <c r="AD24" s="82">
        <v>-83.9</v>
      </c>
      <c r="AE24" s="115">
        <v>-25.8</v>
      </c>
      <c r="AF24" s="115">
        <v>-48.8</v>
      </c>
      <c r="AG24" s="115">
        <v>-79.5</v>
      </c>
      <c r="AH24" s="82">
        <v>-122.8</v>
      </c>
      <c r="AI24" s="83">
        <v>-25.8</v>
      </c>
      <c r="AJ24" s="115">
        <v>-48.8</v>
      </c>
      <c r="AK24" s="115">
        <v>-79.5</v>
      </c>
      <c r="AL24" s="82">
        <v>-122.8</v>
      </c>
      <c r="AM24" s="83">
        <v>-33.1</v>
      </c>
      <c r="AN24" s="115">
        <v>-71</v>
      </c>
      <c r="AO24" s="115">
        <v>-112.2</v>
      </c>
      <c r="AP24" s="82">
        <v>-147.1</v>
      </c>
      <c r="AQ24" s="83">
        <v>-33.9</v>
      </c>
      <c r="AR24" s="115">
        <v>-55.5</v>
      </c>
      <c r="AS24" s="115"/>
      <c r="AT24" s="82"/>
    </row>
    <row r="25" spans="1:46" s="74" customFormat="1" ht="38.25">
      <c r="A25" s="90" t="s">
        <v>301</v>
      </c>
      <c r="B25" s="283" t="s">
        <v>302</v>
      </c>
      <c r="C25" s="85">
        <v>0</v>
      </c>
      <c r="D25" s="85">
        <v>0</v>
      </c>
      <c r="E25" s="85">
        <v>0</v>
      </c>
      <c r="F25" s="86">
        <v>0</v>
      </c>
      <c r="G25" s="87">
        <v>0</v>
      </c>
      <c r="H25" s="85">
        <v>0</v>
      </c>
      <c r="I25" s="85">
        <v>0</v>
      </c>
      <c r="J25" s="86">
        <v>0</v>
      </c>
      <c r="K25" s="89">
        <v>0</v>
      </c>
      <c r="L25" s="84">
        <v>82.1</v>
      </c>
      <c r="M25" s="84">
        <v>82.1</v>
      </c>
      <c r="N25" s="84">
        <v>82.1</v>
      </c>
      <c r="O25" s="83">
        <v>0</v>
      </c>
      <c r="P25" s="115">
        <v>0</v>
      </c>
      <c r="Q25" s="115">
        <v>-371.4</v>
      </c>
      <c r="R25" s="82">
        <v>-371.4</v>
      </c>
      <c r="S25" s="83">
        <v>0</v>
      </c>
      <c r="T25" s="115">
        <v>0</v>
      </c>
      <c r="U25" s="115">
        <v>0</v>
      </c>
      <c r="V25" s="82">
        <v>0</v>
      </c>
      <c r="W25" s="83">
        <v>0</v>
      </c>
      <c r="X25" s="115">
        <v>0</v>
      </c>
      <c r="Y25" s="115">
        <v>0</v>
      </c>
      <c r="Z25" s="82">
        <v>0</v>
      </c>
      <c r="AA25" s="115">
        <v>0</v>
      </c>
      <c r="AB25" s="115">
        <v>0</v>
      </c>
      <c r="AC25" s="115">
        <v>0</v>
      </c>
      <c r="AD25" s="82">
        <v>0</v>
      </c>
      <c r="AE25" s="115">
        <v>0</v>
      </c>
      <c r="AF25" s="115">
        <v>0</v>
      </c>
      <c r="AG25" s="115">
        <v>0</v>
      </c>
      <c r="AH25" s="82">
        <v>0</v>
      </c>
      <c r="AI25" s="83">
        <v>0</v>
      </c>
      <c r="AJ25" s="115">
        <v>0</v>
      </c>
      <c r="AK25" s="115">
        <v>0</v>
      </c>
      <c r="AL25" s="82">
        <v>0</v>
      </c>
      <c r="AM25" s="83">
        <v>0</v>
      </c>
      <c r="AN25" s="115">
        <v>0</v>
      </c>
      <c r="AO25" s="115">
        <v>0</v>
      </c>
      <c r="AP25" s="82">
        <v>0</v>
      </c>
      <c r="AQ25" s="83">
        <v>0</v>
      </c>
      <c r="AR25" s="115">
        <v>0</v>
      </c>
      <c r="AS25" s="115"/>
      <c r="AT25" s="82"/>
    </row>
    <row r="26" spans="1:46" s="74" customFormat="1" ht="20.100000000000001" customHeight="1">
      <c r="A26" s="90" t="s">
        <v>303</v>
      </c>
      <c r="B26" s="283" t="s">
        <v>304</v>
      </c>
      <c r="C26" s="85"/>
      <c r="D26" s="85"/>
      <c r="E26" s="85"/>
      <c r="F26" s="86"/>
      <c r="G26" s="87"/>
      <c r="H26" s="85"/>
      <c r="I26" s="85"/>
      <c r="J26" s="86"/>
      <c r="K26" s="89"/>
      <c r="L26" s="84"/>
      <c r="M26" s="84"/>
      <c r="N26" s="84"/>
      <c r="O26" s="83"/>
      <c r="P26" s="115"/>
      <c r="Q26" s="115"/>
      <c r="R26" s="82"/>
      <c r="S26" s="83"/>
      <c r="T26" s="115"/>
      <c r="U26" s="115"/>
      <c r="V26" s="82">
        <v>0</v>
      </c>
      <c r="W26" s="83">
        <v>58.7</v>
      </c>
      <c r="X26" s="115">
        <v>58.7</v>
      </c>
      <c r="Y26" s="115">
        <v>58.7</v>
      </c>
      <c r="Z26" s="82">
        <v>58.7</v>
      </c>
      <c r="AA26" s="115">
        <v>0</v>
      </c>
      <c r="AB26" s="115">
        <v>0</v>
      </c>
      <c r="AC26" s="355">
        <v>0</v>
      </c>
      <c r="AD26" s="82">
        <v>0</v>
      </c>
      <c r="AE26" s="115">
        <v>0</v>
      </c>
      <c r="AF26" s="115">
        <v>0</v>
      </c>
      <c r="AG26" s="355">
        <v>0</v>
      </c>
      <c r="AH26" s="82">
        <v>0</v>
      </c>
      <c r="AI26" s="83">
        <v>0</v>
      </c>
      <c r="AJ26" s="115">
        <v>0</v>
      </c>
      <c r="AK26" s="355">
        <v>0</v>
      </c>
      <c r="AL26" s="82">
        <v>0</v>
      </c>
      <c r="AM26" s="83">
        <v>0</v>
      </c>
      <c r="AN26" s="115">
        <v>0</v>
      </c>
      <c r="AO26" s="355">
        <v>0</v>
      </c>
      <c r="AP26" s="82">
        <v>0</v>
      </c>
      <c r="AQ26" s="83">
        <v>0</v>
      </c>
      <c r="AR26" s="115">
        <v>0</v>
      </c>
      <c r="AS26" s="355"/>
      <c r="AT26" s="82"/>
    </row>
    <row r="27" spans="1:46" s="74" customFormat="1" ht="20.100000000000001" customHeight="1">
      <c r="A27" s="90" t="s">
        <v>305</v>
      </c>
      <c r="B27" s="283" t="s">
        <v>306</v>
      </c>
      <c r="C27" s="85">
        <v>0</v>
      </c>
      <c r="D27" s="85">
        <v>0</v>
      </c>
      <c r="E27" s="85">
        <v>0</v>
      </c>
      <c r="F27" s="86">
        <v>0</v>
      </c>
      <c r="G27" s="87">
        <v>0</v>
      </c>
      <c r="H27" s="85">
        <v>0</v>
      </c>
      <c r="I27" s="85">
        <v>0</v>
      </c>
      <c r="J27" s="86">
        <v>0</v>
      </c>
      <c r="K27" s="89">
        <v>0</v>
      </c>
      <c r="L27" s="84">
        <v>16.5</v>
      </c>
      <c r="M27" s="84">
        <v>55.4</v>
      </c>
      <c r="N27" s="84">
        <v>84.3</v>
      </c>
      <c r="O27" s="83">
        <v>10.6</v>
      </c>
      <c r="P27" s="115">
        <v>33.9</v>
      </c>
      <c r="Q27" s="115">
        <v>37.6</v>
      </c>
      <c r="R27" s="82">
        <v>53</v>
      </c>
      <c r="S27" s="83">
        <v>-174.6</v>
      </c>
      <c r="T27" s="115">
        <v>-160.19999999999999</v>
      </c>
      <c r="U27" s="115">
        <v>-161.9</v>
      </c>
      <c r="V27" s="82">
        <v>-164.9</v>
      </c>
      <c r="W27" s="83">
        <v>-0.1</v>
      </c>
      <c r="X27" s="115">
        <v>0.9</v>
      </c>
      <c r="Y27" s="115">
        <v>-1.3</v>
      </c>
      <c r="Z27" s="82">
        <v>-1.5</v>
      </c>
      <c r="AA27" s="116" t="s">
        <v>238</v>
      </c>
      <c r="AB27" s="116" t="s">
        <v>238</v>
      </c>
      <c r="AC27" s="116" t="s">
        <v>238</v>
      </c>
      <c r="AD27" s="317" t="s">
        <v>238</v>
      </c>
      <c r="AE27" s="116" t="s">
        <v>238</v>
      </c>
      <c r="AF27" s="116" t="s">
        <v>238</v>
      </c>
      <c r="AG27" s="116" t="s">
        <v>238</v>
      </c>
      <c r="AH27" s="317" t="s">
        <v>238</v>
      </c>
      <c r="AI27" s="88" t="s">
        <v>238</v>
      </c>
      <c r="AJ27" s="116" t="s">
        <v>238</v>
      </c>
      <c r="AK27" s="116" t="s">
        <v>238</v>
      </c>
      <c r="AL27" s="317" t="s">
        <v>238</v>
      </c>
      <c r="AM27" s="88" t="s">
        <v>238</v>
      </c>
      <c r="AN27" s="116" t="s">
        <v>238</v>
      </c>
      <c r="AO27" s="116" t="s">
        <v>238</v>
      </c>
      <c r="AP27" s="317" t="s">
        <v>238</v>
      </c>
      <c r="AQ27" s="88" t="s">
        <v>238</v>
      </c>
      <c r="AR27" s="116" t="s">
        <v>238</v>
      </c>
      <c r="AS27" s="116"/>
      <c r="AT27" s="317"/>
    </row>
    <row r="28" spans="1:46" s="74" customFormat="1" ht="25.5">
      <c r="A28" s="90" t="s">
        <v>307</v>
      </c>
      <c r="B28" s="283" t="s">
        <v>308</v>
      </c>
      <c r="C28" s="85"/>
      <c r="D28" s="85"/>
      <c r="E28" s="85"/>
      <c r="F28" s="86"/>
      <c r="G28" s="87"/>
      <c r="H28" s="85"/>
      <c r="I28" s="85"/>
      <c r="J28" s="86"/>
      <c r="K28" s="89"/>
      <c r="L28" s="84"/>
      <c r="M28" s="84"/>
      <c r="N28" s="84"/>
      <c r="O28" s="83"/>
      <c r="P28" s="115"/>
      <c r="Q28" s="115"/>
      <c r="R28" s="82"/>
      <c r="S28" s="83"/>
      <c r="T28" s="115"/>
      <c r="U28" s="115"/>
      <c r="V28" s="82"/>
      <c r="W28" s="83"/>
      <c r="X28" s="115"/>
      <c r="Y28" s="115"/>
      <c r="Z28" s="82"/>
      <c r="AA28" s="116"/>
      <c r="AB28" s="116"/>
      <c r="AC28" s="116"/>
      <c r="AD28" s="317"/>
      <c r="AE28" s="116"/>
      <c r="AF28" s="116"/>
      <c r="AG28" s="116"/>
      <c r="AH28" s="317"/>
      <c r="AI28" s="88"/>
      <c r="AJ28" s="116"/>
      <c r="AK28" s="116"/>
      <c r="AL28" s="317"/>
      <c r="AM28" s="88">
        <v>0</v>
      </c>
      <c r="AN28" s="115">
        <v>-44.8</v>
      </c>
      <c r="AO28" s="115">
        <v>-44.8</v>
      </c>
      <c r="AP28" s="356">
        <v>-44.8</v>
      </c>
      <c r="AQ28" s="88">
        <v>0</v>
      </c>
      <c r="AR28" s="115">
        <v>0</v>
      </c>
      <c r="AS28" s="115"/>
      <c r="AT28" s="356"/>
    </row>
    <row r="29" spans="1:46" s="74" customFormat="1" ht="20.100000000000001" customHeight="1" thickBot="1">
      <c r="A29" s="90" t="s">
        <v>309</v>
      </c>
      <c r="B29" s="283" t="s">
        <v>310</v>
      </c>
      <c r="C29" s="115">
        <v>0.245</v>
      </c>
      <c r="D29" s="115">
        <v>0.78500000000000003</v>
      </c>
      <c r="E29" s="115">
        <v>1.31</v>
      </c>
      <c r="F29" s="82">
        <v>3.5380000000000003</v>
      </c>
      <c r="G29" s="83">
        <v>1.484</v>
      </c>
      <c r="H29" s="115">
        <f>4.197+4.842</f>
        <v>9.0389999999999997</v>
      </c>
      <c r="I29" s="115">
        <f>5.852+4.842</f>
        <v>10.693999999999999</v>
      </c>
      <c r="J29" s="82">
        <v>11.93</v>
      </c>
      <c r="K29" s="84">
        <v>1.7790000000000001</v>
      </c>
      <c r="L29" s="84">
        <v>10.8</v>
      </c>
      <c r="M29" s="84">
        <v>11.7</v>
      </c>
      <c r="N29" s="84">
        <v>96.1</v>
      </c>
      <c r="O29" s="83">
        <v>-3</v>
      </c>
      <c r="P29" s="115">
        <v>9</v>
      </c>
      <c r="Q29" s="115">
        <v>19.600000000000001</v>
      </c>
      <c r="R29" s="82">
        <v>21.6</v>
      </c>
      <c r="S29" s="83">
        <v>2.5</v>
      </c>
      <c r="T29" s="115">
        <v>-1.9</v>
      </c>
      <c r="U29" s="115">
        <v>22.5</v>
      </c>
      <c r="V29" s="82">
        <v>24</v>
      </c>
      <c r="W29" s="83">
        <v>-2.1</v>
      </c>
      <c r="X29" s="115">
        <v>18.100000000000001</v>
      </c>
      <c r="Y29" s="115">
        <v>51.1</v>
      </c>
      <c r="Z29" s="82">
        <v>55.5</v>
      </c>
      <c r="AA29" s="115">
        <v>-18.2</v>
      </c>
      <c r="AB29" s="115">
        <v>2.5</v>
      </c>
      <c r="AC29" s="115">
        <v>18.2</v>
      </c>
      <c r="AD29" s="82">
        <v>-97.8</v>
      </c>
      <c r="AE29" s="115">
        <v>1.1000000000000001</v>
      </c>
      <c r="AF29" s="115">
        <v>-6.3</v>
      </c>
      <c r="AG29" s="115">
        <v>64.8</v>
      </c>
      <c r="AH29" s="82">
        <v>68.400000000000006</v>
      </c>
      <c r="AI29" s="83">
        <v>1.1000000000000001</v>
      </c>
      <c r="AJ29" s="115">
        <v>-6.3</v>
      </c>
      <c r="AK29" s="115">
        <v>64.8</v>
      </c>
      <c r="AL29" s="82">
        <v>68.400000000000006</v>
      </c>
      <c r="AM29" s="83">
        <v>-5.4</v>
      </c>
      <c r="AN29" s="115">
        <v>-3.3</v>
      </c>
      <c r="AO29" s="115">
        <v>14.4</v>
      </c>
      <c r="AP29" s="82">
        <v>31</v>
      </c>
      <c r="AQ29" s="83">
        <v>13.1</v>
      </c>
      <c r="AR29" s="115">
        <v>29.8</v>
      </c>
      <c r="AS29" s="115"/>
      <c r="AT29" s="82"/>
    </row>
    <row r="30" spans="1:46" s="74" customFormat="1" ht="20.100000000000001" customHeight="1" thickBot="1">
      <c r="A30" s="535" t="s">
        <v>311</v>
      </c>
      <c r="B30" s="536" t="s">
        <v>312</v>
      </c>
      <c r="C30" s="537">
        <f t="shared" ref="C30:AB30" si="3">C5+C6</f>
        <v>232.697</v>
      </c>
      <c r="D30" s="537">
        <f t="shared" si="3"/>
        <v>415.61099999999999</v>
      </c>
      <c r="E30" s="537">
        <f t="shared" si="3"/>
        <v>628.7700000000001</v>
      </c>
      <c r="F30" s="538">
        <f t="shared" si="3"/>
        <v>843.21800000000007</v>
      </c>
      <c r="G30" s="539">
        <f t="shared" si="3"/>
        <v>165.66199999999998</v>
      </c>
      <c r="H30" s="540">
        <f t="shared" si="3"/>
        <v>351.928</v>
      </c>
      <c r="I30" s="540">
        <f t="shared" si="3"/>
        <v>548.24399999999991</v>
      </c>
      <c r="J30" s="538">
        <f t="shared" si="3"/>
        <v>859.7349999999999</v>
      </c>
      <c r="K30" s="540">
        <f t="shared" si="3"/>
        <v>184.70400000000001</v>
      </c>
      <c r="L30" s="540">
        <f t="shared" si="3"/>
        <v>735.69999999999982</v>
      </c>
      <c r="M30" s="540">
        <f t="shared" si="3"/>
        <v>1423.9000000000003</v>
      </c>
      <c r="N30" s="540">
        <f t="shared" si="3"/>
        <v>2117.7999999999997</v>
      </c>
      <c r="O30" s="539">
        <f t="shared" si="3"/>
        <v>453.00000000000011</v>
      </c>
      <c r="P30" s="540">
        <f t="shared" si="3"/>
        <v>1327.9999999999995</v>
      </c>
      <c r="Q30" s="540">
        <f t="shared" si="3"/>
        <v>2173.4999999999991</v>
      </c>
      <c r="R30" s="538">
        <f t="shared" si="3"/>
        <v>2985.0999999999995</v>
      </c>
      <c r="S30" s="539">
        <f t="shared" si="3"/>
        <v>584.40000000000009</v>
      </c>
      <c r="T30" s="540">
        <f t="shared" si="3"/>
        <v>1549.4</v>
      </c>
      <c r="U30" s="540">
        <f t="shared" si="3"/>
        <v>2357.5000000000009</v>
      </c>
      <c r="V30" s="538">
        <f t="shared" si="3"/>
        <v>3151.5</v>
      </c>
      <c r="W30" s="539">
        <f t="shared" si="3"/>
        <v>780.70000000000027</v>
      </c>
      <c r="X30" s="540">
        <f t="shared" si="3"/>
        <v>1615.9</v>
      </c>
      <c r="Y30" s="540">
        <f t="shared" si="3"/>
        <v>2245.6999999999998</v>
      </c>
      <c r="Z30" s="538">
        <f t="shared" si="3"/>
        <v>3126.3</v>
      </c>
      <c r="AA30" s="540">
        <f t="shared" si="3"/>
        <v>633.10000000000014</v>
      </c>
      <c r="AB30" s="540">
        <f t="shared" si="3"/>
        <v>1396.9</v>
      </c>
      <c r="AC30" s="540">
        <v>2220.8000000000002</v>
      </c>
      <c r="AD30" s="538">
        <f t="shared" ref="AD30:AP30" si="4">AD5+AD6</f>
        <v>3232.1</v>
      </c>
      <c r="AE30" s="540">
        <f t="shared" si="4"/>
        <v>703.2</v>
      </c>
      <c r="AF30" s="540">
        <f t="shared" si="4"/>
        <v>1554.3000000000002</v>
      </c>
      <c r="AG30" s="540">
        <f t="shared" si="4"/>
        <v>2406.8000000000002</v>
      </c>
      <c r="AH30" s="538">
        <f t="shared" si="4"/>
        <v>3391.8</v>
      </c>
      <c r="AI30" s="539">
        <f t="shared" si="4"/>
        <v>762.2</v>
      </c>
      <c r="AJ30" s="540">
        <f t="shared" si="4"/>
        <v>1709.3000000000002</v>
      </c>
      <c r="AK30" s="540">
        <f t="shared" si="4"/>
        <v>2659.9000000000005</v>
      </c>
      <c r="AL30" s="538">
        <f t="shared" si="4"/>
        <v>3777.8999999999996</v>
      </c>
      <c r="AM30" s="539">
        <f t="shared" si="4"/>
        <v>860.98882651999998</v>
      </c>
      <c r="AN30" s="540">
        <f t="shared" si="4"/>
        <v>1706.8000000000004</v>
      </c>
      <c r="AO30" s="540">
        <f t="shared" si="4"/>
        <v>2655.2999999999997</v>
      </c>
      <c r="AP30" s="538">
        <f t="shared" si="4"/>
        <v>3797.8999999999996</v>
      </c>
      <c r="AQ30" s="539">
        <f t="shared" ref="AQ30:AT30" si="5">AQ5+AQ6</f>
        <v>994.30000000000007</v>
      </c>
      <c r="AR30" s="540">
        <f t="shared" si="5"/>
        <v>1885.8999999999999</v>
      </c>
      <c r="AS30" s="540">
        <f t="shared" si="5"/>
        <v>0</v>
      </c>
      <c r="AT30" s="538">
        <f t="shared" si="5"/>
        <v>0</v>
      </c>
    </row>
    <row r="31" spans="1:46" s="74" customFormat="1" ht="20.100000000000001" customHeight="1">
      <c r="A31" s="90" t="s">
        <v>313</v>
      </c>
      <c r="B31" s="283" t="s">
        <v>314</v>
      </c>
      <c r="C31" s="115">
        <v>-12.561</v>
      </c>
      <c r="D31" s="115">
        <v>-47.188000000000002</v>
      </c>
      <c r="E31" s="115">
        <v>-59.765999999999998</v>
      </c>
      <c r="F31" s="82">
        <v>-78.733000000000004</v>
      </c>
      <c r="G31" s="83">
        <v>-13.763</v>
      </c>
      <c r="H31" s="115">
        <v>-26.318999999999999</v>
      </c>
      <c r="I31" s="115">
        <v>-37.451999999999998</v>
      </c>
      <c r="J31" s="82">
        <v>-67.486000000000004</v>
      </c>
      <c r="K31" s="84">
        <v>-17.809000000000001</v>
      </c>
      <c r="L31" s="84">
        <v>-99.5</v>
      </c>
      <c r="M31" s="84">
        <v>-135.19999999999999</v>
      </c>
      <c r="N31" s="84">
        <v>-189.1</v>
      </c>
      <c r="O31" s="83">
        <v>-48.5</v>
      </c>
      <c r="P31" s="115">
        <v>-44.2</v>
      </c>
      <c r="Q31" s="115">
        <v>-94.2</v>
      </c>
      <c r="R31" s="82">
        <v>-136.19999999999999</v>
      </c>
      <c r="S31" s="83">
        <v>-145.69999999999999</v>
      </c>
      <c r="T31" s="115">
        <v>-186.5</v>
      </c>
      <c r="U31" s="115">
        <v>-236.1</v>
      </c>
      <c r="V31" s="82">
        <v>-292.7</v>
      </c>
      <c r="W31" s="83">
        <v>-43.5</v>
      </c>
      <c r="X31" s="115">
        <v>-112.5</v>
      </c>
      <c r="Y31" s="115">
        <v>-181.5</v>
      </c>
      <c r="Z31" s="82">
        <v>-216.2</v>
      </c>
      <c r="AA31" s="115">
        <v>-70.599999999999994</v>
      </c>
      <c r="AB31" s="115">
        <v>-191.3</v>
      </c>
      <c r="AC31" s="115">
        <v>-265.10000000000002</v>
      </c>
      <c r="AD31" s="82">
        <v>-343.2</v>
      </c>
      <c r="AE31" s="115">
        <v>-66.099999999999994</v>
      </c>
      <c r="AF31" s="115">
        <v>-163</v>
      </c>
      <c r="AG31" s="115">
        <v>-252.5</v>
      </c>
      <c r="AH31" s="82">
        <v>-328.5</v>
      </c>
      <c r="AI31" s="83">
        <v>-66.099999999999994</v>
      </c>
      <c r="AJ31" s="115">
        <v>-163</v>
      </c>
      <c r="AK31" s="115">
        <v>-252.5</v>
      </c>
      <c r="AL31" s="82">
        <v>-328.5</v>
      </c>
      <c r="AM31" s="83">
        <v>-87.1</v>
      </c>
      <c r="AN31" s="115">
        <v>-360.4</v>
      </c>
      <c r="AO31" s="115">
        <v>-438.9</v>
      </c>
      <c r="AP31" s="82">
        <v>-552.9</v>
      </c>
      <c r="AQ31" s="83">
        <v>-106</v>
      </c>
      <c r="AR31" s="115">
        <v>-269.89999999999998</v>
      </c>
      <c r="AS31" s="115"/>
      <c r="AT31" s="82"/>
    </row>
    <row r="32" spans="1:46" s="74" customFormat="1" ht="20.100000000000001" customHeight="1">
      <c r="A32" s="90" t="s">
        <v>315</v>
      </c>
      <c r="B32" s="283" t="s">
        <v>316</v>
      </c>
      <c r="C32" s="115">
        <v>3.843</v>
      </c>
      <c r="D32" s="115">
        <v>8.1440000000000001</v>
      </c>
      <c r="E32" s="115">
        <v>12.96</v>
      </c>
      <c r="F32" s="82">
        <v>16.882000000000001</v>
      </c>
      <c r="G32" s="83">
        <v>3.544</v>
      </c>
      <c r="H32" s="115">
        <v>6.1040000000000001</v>
      </c>
      <c r="I32" s="115">
        <v>8.5630000000000006</v>
      </c>
      <c r="J32" s="82">
        <v>10.41</v>
      </c>
      <c r="K32" s="84">
        <v>2.165</v>
      </c>
      <c r="L32" s="84">
        <v>13.4</v>
      </c>
      <c r="M32" s="84">
        <v>33.1</v>
      </c>
      <c r="N32" s="84">
        <v>45.2</v>
      </c>
      <c r="O32" s="83">
        <v>13.2</v>
      </c>
      <c r="P32" s="115">
        <v>20.5</v>
      </c>
      <c r="Q32" s="115">
        <v>30.5</v>
      </c>
      <c r="R32" s="82">
        <v>38.799999999999997</v>
      </c>
      <c r="S32" s="83">
        <v>8.1</v>
      </c>
      <c r="T32" s="115">
        <v>13.1</v>
      </c>
      <c r="U32" s="115">
        <v>19.5</v>
      </c>
      <c r="V32" s="82">
        <v>25.9</v>
      </c>
      <c r="W32" s="83">
        <v>14.5</v>
      </c>
      <c r="X32" s="115">
        <v>16</v>
      </c>
      <c r="Y32" s="115">
        <v>23.5</v>
      </c>
      <c r="Z32" s="82">
        <v>31.3</v>
      </c>
      <c r="AA32" s="115">
        <v>7.5</v>
      </c>
      <c r="AB32" s="115">
        <v>14.6</v>
      </c>
      <c r="AC32" s="115">
        <v>20.5</v>
      </c>
      <c r="AD32" s="82">
        <v>26.2</v>
      </c>
      <c r="AE32" s="115">
        <v>4.8</v>
      </c>
      <c r="AF32" s="115">
        <v>11.8</v>
      </c>
      <c r="AG32" s="115">
        <v>18.3</v>
      </c>
      <c r="AH32" s="82">
        <v>24</v>
      </c>
      <c r="AI32" s="83">
        <v>4.8</v>
      </c>
      <c r="AJ32" s="115">
        <v>11.8</v>
      </c>
      <c r="AK32" s="115">
        <v>18.3</v>
      </c>
      <c r="AL32" s="82">
        <v>24</v>
      </c>
      <c r="AM32" s="83">
        <v>4.9000000000000004</v>
      </c>
      <c r="AN32" s="115">
        <v>6.8</v>
      </c>
      <c r="AO32" s="115">
        <v>6.7</v>
      </c>
      <c r="AP32" s="82">
        <v>6.7</v>
      </c>
      <c r="AQ32" s="83">
        <v>0.7</v>
      </c>
      <c r="AR32" s="115">
        <v>2.7</v>
      </c>
      <c r="AS32" s="115"/>
      <c r="AT32" s="82"/>
    </row>
    <row r="33" spans="1:46" s="374" customFormat="1" ht="24.95" customHeight="1">
      <c r="A33" s="531" t="s">
        <v>317</v>
      </c>
      <c r="B33" s="531" t="s">
        <v>318</v>
      </c>
      <c r="C33" s="532">
        <f t="shared" ref="C33:R33" si="6">SUM(C30:C32)</f>
        <v>223.97899999999998</v>
      </c>
      <c r="D33" s="533">
        <f t="shared" si="6"/>
        <v>376.56700000000001</v>
      </c>
      <c r="E33" s="533">
        <f t="shared" si="6"/>
        <v>581.96400000000017</v>
      </c>
      <c r="F33" s="534">
        <f t="shared" si="6"/>
        <v>781.36700000000008</v>
      </c>
      <c r="G33" s="532">
        <f t="shared" si="6"/>
        <v>155.44299999999998</v>
      </c>
      <c r="H33" s="533">
        <f t="shared" si="6"/>
        <v>331.71299999999997</v>
      </c>
      <c r="I33" s="533">
        <f t="shared" si="6"/>
        <v>519.3549999999999</v>
      </c>
      <c r="J33" s="534">
        <f t="shared" si="6"/>
        <v>802.65899999999988</v>
      </c>
      <c r="K33" s="532">
        <f t="shared" si="6"/>
        <v>169.06</v>
      </c>
      <c r="L33" s="533">
        <f t="shared" si="6"/>
        <v>649.5999999999998</v>
      </c>
      <c r="M33" s="533">
        <f t="shared" si="6"/>
        <v>1321.8000000000002</v>
      </c>
      <c r="N33" s="534">
        <f t="shared" si="6"/>
        <v>1973.8999999999999</v>
      </c>
      <c r="O33" s="532">
        <f t="shared" si="6"/>
        <v>417.7000000000001</v>
      </c>
      <c r="P33" s="533">
        <f t="shared" si="6"/>
        <v>1304.2999999999995</v>
      </c>
      <c r="Q33" s="533">
        <f t="shared" si="6"/>
        <v>2109.7999999999993</v>
      </c>
      <c r="R33" s="534">
        <f t="shared" si="6"/>
        <v>2887.7</v>
      </c>
      <c r="S33" s="532">
        <f t="shared" ref="S33" si="7">SUM(S30:S32)</f>
        <v>446.80000000000013</v>
      </c>
      <c r="T33" s="533">
        <f t="shared" ref="T33:U33" si="8">SUM(T30:T32)</f>
        <v>1376</v>
      </c>
      <c r="U33" s="533">
        <f t="shared" si="8"/>
        <v>2140.900000000001</v>
      </c>
      <c r="V33" s="534">
        <f t="shared" ref="V33:Z33" si="9">SUM(V30:V32)</f>
        <v>2884.7000000000003</v>
      </c>
      <c r="W33" s="532">
        <f t="shared" si="9"/>
        <v>751.70000000000027</v>
      </c>
      <c r="X33" s="533">
        <f t="shared" si="9"/>
        <v>1519.4</v>
      </c>
      <c r="Y33" s="533">
        <f t="shared" si="9"/>
        <v>2087.6999999999998</v>
      </c>
      <c r="Z33" s="534">
        <f t="shared" si="9"/>
        <v>2941.4000000000005</v>
      </c>
      <c r="AA33" s="532">
        <f t="shared" ref="AA33:AD33" si="10">SUM(AA30:AA32)</f>
        <v>570.00000000000011</v>
      </c>
      <c r="AB33" s="533">
        <f>SUM(AB30:AB32)</f>
        <v>1220.2</v>
      </c>
      <c r="AC33" s="533">
        <f>SUM(AC30:AC32)</f>
        <v>1976.2000000000003</v>
      </c>
      <c r="AD33" s="534">
        <f t="shared" si="10"/>
        <v>2915.1</v>
      </c>
      <c r="AE33" s="532">
        <f t="shared" ref="AE33:AH33" si="11">SUM(AE30:AE32)</f>
        <v>641.9</v>
      </c>
      <c r="AF33" s="533">
        <f t="shared" si="11"/>
        <v>1403.1000000000001</v>
      </c>
      <c r="AG33" s="533">
        <f t="shared" si="11"/>
        <v>2172.6000000000004</v>
      </c>
      <c r="AH33" s="534">
        <f t="shared" si="11"/>
        <v>3087.3</v>
      </c>
      <c r="AI33" s="532">
        <f t="shared" ref="AI33:AL33" si="12">SUM(AI30:AI32)</f>
        <v>700.9</v>
      </c>
      <c r="AJ33" s="533">
        <f t="shared" si="12"/>
        <v>1558.1000000000001</v>
      </c>
      <c r="AK33" s="533">
        <f t="shared" si="12"/>
        <v>2425.7000000000007</v>
      </c>
      <c r="AL33" s="534">
        <f t="shared" si="12"/>
        <v>3473.3999999999996</v>
      </c>
      <c r="AM33" s="532">
        <f t="shared" ref="AM33:AP33" si="13">SUM(AM30:AM32)</f>
        <v>778.78882651999993</v>
      </c>
      <c r="AN33" s="533">
        <f t="shared" si="13"/>
        <v>1353.2000000000005</v>
      </c>
      <c r="AO33" s="533">
        <v>2223.1</v>
      </c>
      <c r="AP33" s="534">
        <f t="shared" si="13"/>
        <v>3251.6999999999994</v>
      </c>
      <c r="AQ33" s="532">
        <f t="shared" ref="AQ33:AS33" si="14">SUM(AQ30:AQ32)</f>
        <v>889.00000000000011</v>
      </c>
      <c r="AR33" s="533">
        <f t="shared" si="14"/>
        <v>1618.7</v>
      </c>
      <c r="AS33" s="533">
        <f t="shared" si="14"/>
        <v>0</v>
      </c>
      <c r="AT33" s="534">
        <f t="shared" ref="AT33" si="15">SUM(AT30:AT32)</f>
        <v>0</v>
      </c>
    </row>
    <row r="34" spans="1:46" s="74" customFormat="1" ht="20.100000000000001" customHeight="1">
      <c r="A34" s="90" t="s">
        <v>319</v>
      </c>
      <c r="B34" s="283" t="s">
        <v>320</v>
      </c>
      <c r="C34" s="115">
        <v>-13.759</v>
      </c>
      <c r="D34" s="115">
        <v>-28.18</v>
      </c>
      <c r="E34" s="115">
        <v>-40.478000000000002</v>
      </c>
      <c r="F34" s="82">
        <v>-54.936999999999998</v>
      </c>
      <c r="G34" s="83">
        <v>-21.702999999999999</v>
      </c>
      <c r="H34" s="115">
        <v>-40.633000000000003</v>
      </c>
      <c r="I34" s="115">
        <v>-53.000999999999998</v>
      </c>
      <c r="J34" s="82">
        <v>-60.844999999999999</v>
      </c>
      <c r="K34" s="84">
        <v>-19.433</v>
      </c>
      <c r="L34" s="84">
        <v>-93</v>
      </c>
      <c r="M34" s="84">
        <v>-180</v>
      </c>
      <c r="N34" s="84">
        <v>-263.60000000000002</v>
      </c>
      <c r="O34" s="83">
        <v>-137.6</v>
      </c>
      <c r="P34" s="115">
        <v>-187</v>
      </c>
      <c r="Q34" s="115">
        <v>-323.2</v>
      </c>
      <c r="R34" s="82">
        <v>-417.8</v>
      </c>
      <c r="S34" s="83">
        <v>-98.4</v>
      </c>
      <c r="T34" s="115">
        <v>-179.5</v>
      </c>
      <c r="U34" s="115">
        <v>-301.2</v>
      </c>
      <c r="V34" s="82">
        <v>-436.2</v>
      </c>
      <c r="W34" s="83">
        <v>-138.9</v>
      </c>
      <c r="X34" s="115">
        <v>-268.8</v>
      </c>
      <c r="Y34" s="115">
        <v>-418.9</v>
      </c>
      <c r="Z34" s="82">
        <v>-524.79999999999995</v>
      </c>
      <c r="AA34" s="115">
        <v>-131.6</v>
      </c>
      <c r="AB34" s="115">
        <v>-266.7</v>
      </c>
      <c r="AC34" s="115">
        <v>-465</v>
      </c>
      <c r="AD34" s="82">
        <v>-624.29999999999995</v>
      </c>
      <c r="AE34" s="115">
        <v>-251.4</v>
      </c>
      <c r="AF34" s="115">
        <v>-433.6</v>
      </c>
      <c r="AG34" s="115">
        <v>-651.9</v>
      </c>
      <c r="AH34" s="82">
        <v>-852.6</v>
      </c>
      <c r="AI34" s="83">
        <v>-251.4</v>
      </c>
      <c r="AJ34" s="115">
        <v>-433.6</v>
      </c>
      <c r="AK34" s="115">
        <v>-651.9</v>
      </c>
      <c r="AL34" s="82">
        <v>-852.6</v>
      </c>
      <c r="AM34" s="83">
        <v>-255.9</v>
      </c>
      <c r="AN34" s="115">
        <v>-441.3</v>
      </c>
      <c r="AO34" s="115">
        <v>-648.29999999999995</v>
      </c>
      <c r="AP34" s="82">
        <v>-1006.4</v>
      </c>
      <c r="AQ34" s="83">
        <v>-270.10000000000002</v>
      </c>
      <c r="AR34" s="115">
        <v>-567.4</v>
      </c>
      <c r="AS34" s="115"/>
      <c r="AT34" s="82"/>
    </row>
    <row r="35" spans="1:46" s="74" customFormat="1" ht="20.100000000000001" customHeight="1">
      <c r="A35" s="90" t="s">
        <v>321</v>
      </c>
      <c r="B35" s="283" t="s">
        <v>322</v>
      </c>
      <c r="C35" s="115">
        <v>-7.0449999999999999</v>
      </c>
      <c r="D35" s="115">
        <v>-11.33</v>
      </c>
      <c r="E35" s="115">
        <v>-23.225000000000001</v>
      </c>
      <c r="F35" s="82">
        <v>-36.24</v>
      </c>
      <c r="G35" s="83">
        <v>-13.377000000000001</v>
      </c>
      <c r="H35" s="115">
        <v>-20.378</v>
      </c>
      <c r="I35" s="115">
        <v>-45.453000000000003</v>
      </c>
      <c r="J35" s="82">
        <v>-62.041000000000004</v>
      </c>
      <c r="K35" s="84">
        <v>-19.987000000000002</v>
      </c>
      <c r="L35" s="84">
        <v>-46.6</v>
      </c>
      <c r="M35" s="84">
        <v>-57.4</v>
      </c>
      <c r="N35" s="84">
        <v>-71.8</v>
      </c>
      <c r="O35" s="83">
        <v>-19.100000000000001</v>
      </c>
      <c r="P35" s="115">
        <v>-90.7</v>
      </c>
      <c r="Q35" s="115">
        <v>-111.1</v>
      </c>
      <c r="R35" s="82">
        <v>-165.3</v>
      </c>
      <c r="S35" s="83">
        <v>-20.3</v>
      </c>
      <c r="T35" s="115">
        <v>-61.3</v>
      </c>
      <c r="U35" s="115">
        <v>-94.6</v>
      </c>
      <c r="V35" s="82">
        <v>-154.19999999999999</v>
      </c>
      <c r="W35" s="83">
        <v>-33.200000000000003</v>
      </c>
      <c r="X35" s="115">
        <v>-114.2</v>
      </c>
      <c r="Y35" s="115">
        <v>-137.30000000000001</v>
      </c>
      <c r="Z35" s="82">
        <v>-214.3</v>
      </c>
      <c r="AA35" s="115">
        <v>-42.8</v>
      </c>
      <c r="AB35" s="115">
        <v>-83.9</v>
      </c>
      <c r="AC35" s="115">
        <v>-168.4</v>
      </c>
      <c r="AD35" s="82">
        <v>-304.10000000000002</v>
      </c>
      <c r="AE35" s="115">
        <v>-108.5</v>
      </c>
      <c r="AF35" s="115">
        <v>-202.7</v>
      </c>
      <c r="AG35" s="115">
        <v>-302.7</v>
      </c>
      <c r="AH35" s="82">
        <v>-379</v>
      </c>
      <c r="AI35" s="83">
        <v>-108.5</v>
      </c>
      <c r="AJ35" s="115">
        <v>-202.7</v>
      </c>
      <c r="AK35" s="115">
        <v>-302.7</v>
      </c>
      <c r="AL35" s="82">
        <v>-379</v>
      </c>
      <c r="AM35" s="83">
        <v>-51.5</v>
      </c>
      <c r="AN35" s="115">
        <v>-90.2</v>
      </c>
      <c r="AO35" s="115">
        <v>-139.4</v>
      </c>
      <c r="AP35" s="82">
        <v>-211.5</v>
      </c>
      <c r="AQ35" s="83">
        <v>-65.400000000000006</v>
      </c>
      <c r="AR35" s="115">
        <v>-102.6</v>
      </c>
      <c r="AS35" s="115"/>
      <c r="AT35" s="82"/>
    </row>
    <row r="36" spans="1:46" s="74" customFormat="1" ht="20.100000000000001" customHeight="1">
      <c r="A36" s="90" t="s">
        <v>323</v>
      </c>
      <c r="B36" s="283" t="s">
        <v>324</v>
      </c>
      <c r="C36" s="115"/>
      <c r="D36" s="115"/>
      <c r="E36" s="115"/>
      <c r="F36" s="82"/>
      <c r="G36" s="83"/>
      <c r="H36" s="115"/>
      <c r="I36" s="115"/>
      <c r="J36" s="82"/>
      <c r="K36" s="84"/>
      <c r="L36" s="84"/>
      <c r="M36" s="84"/>
      <c r="N36" s="84"/>
      <c r="O36" s="83"/>
      <c r="P36" s="115"/>
      <c r="Q36" s="115"/>
      <c r="R36" s="82"/>
      <c r="S36" s="83"/>
      <c r="T36" s="115"/>
      <c r="U36" s="115"/>
      <c r="V36" s="82">
        <v>0</v>
      </c>
      <c r="W36" s="83"/>
      <c r="X36" s="115"/>
      <c r="Y36" s="115"/>
      <c r="Z36" s="82">
        <v>-9.3000000000000007</v>
      </c>
      <c r="AA36" s="115">
        <v>0</v>
      </c>
      <c r="AB36" s="115">
        <v>0</v>
      </c>
      <c r="AC36" s="115">
        <v>0</v>
      </c>
      <c r="AD36" s="82">
        <v>-9.1999999999999993</v>
      </c>
      <c r="AE36" s="115">
        <v>0</v>
      </c>
      <c r="AF36" s="115"/>
      <c r="AG36" s="115">
        <v>0</v>
      </c>
      <c r="AH36" s="82">
        <v>0</v>
      </c>
      <c r="AI36" s="83">
        <v>0</v>
      </c>
      <c r="AJ36" s="115">
        <v>0</v>
      </c>
      <c r="AK36" s="115">
        <v>0</v>
      </c>
      <c r="AL36" s="82">
        <v>0</v>
      </c>
      <c r="AM36" s="83">
        <v>0</v>
      </c>
      <c r="AN36" s="115">
        <v>-8.3000000000000007</v>
      </c>
      <c r="AO36" s="115">
        <v>-8.3000000000000007</v>
      </c>
      <c r="AP36" s="82">
        <v>-8.3000000000000007</v>
      </c>
      <c r="AQ36" s="83">
        <v>-27.8</v>
      </c>
      <c r="AR36" s="115">
        <v>-27.8</v>
      </c>
      <c r="AS36" s="115"/>
      <c r="AT36" s="82"/>
    </row>
    <row r="37" spans="1:46" s="74" customFormat="1" ht="20.100000000000001" customHeight="1">
      <c r="A37" s="90" t="s">
        <v>325</v>
      </c>
      <c r="B37" s="283" t="s">
        <v>326</v>
      </c>
      <c r="C37" s="85">
        <v>0</v>
      </c>
      <c r="D37" s="85">
        <v>0</v>
      </c>
      <c r="E37" s="85">
        <v>0</v>
      </c>
      <c r="F37" s="86">
        <v>0</v>
      </c>
      <c r="G37" s="87">
        <v>0</v>
      </c>
      <c r="H37" s="85">
        <v>0</v>
      </c>
      <c r="I37" s="85">
        <v>0</v>
      </c>
      <c r="J37" s="86">
        <v>0</v>
      </c>
      <c r="K37" s="87">
        <v>0</v>
      </c>
      <c r="L37" s="115">
        <v>0</v>
      </c>
      <c r="M37" s="115">
        <v>-482.3</v>
      </c>
      <c r="N37" s="84">
        <v>-482.3</v>
      </c>
      <c r="O37" s="83">
        <v>0</v>
      </c>
      <c r="P37" s="115">
        <v>0</v>
      </c>
      <c r="Q37" s="115">
        <v>-118.7</v>
      </c>
      <c r="R37" s="82">
        <v>-118.7</v>
      </c>
      <c r="S37" s="83">
        <v>-147.69999999999999</v>
      </c>
      <c r="T37" s="115">
        <v>-147.69999999999999</v>
      </c>
      <c r="U37" s="115">
        <v>-268.5</v>
      </c>
      <c r="V37" s="82">
        <v>-268.5</v>
      </c>
      <c r="W37" s="83">
        <v>0</v>
      </c>
      <c r="X37" s="115">
        <v>0</v>
      </c>
      <c r="Y37" s="115">
        <v>-120.7</v>
      </c>
      <c r="Z37" s="82">
        <v>-120.7</v>
      </c>
      <c r="AA37" s="115">
        <v>0</v>
      </c>
      <c r="AB37" s="115">
        <v>0</v>
      </c>
      <c r="AC37" s="115">
        <v>-119.6</v>
      </c>
      <c r="AD37" s="82">
        <v>-119.6</v>
      </c>
      <c r="AE37" s="115">
        <v>0</v>
      </c>
      <c r="AF37" s="115"/>
      <c r="AG37" s="115">
        <v>-122.4</v>
      </c>
      <c r="AH37" s="82">
        <v>-122.4</v>
      </c>
      <c r="AI37" s="83">
        <v>0</v>
      </c>
      <c r="AJ37" s="115">
        <v>0</v>
      </c>
      <c r="AK37" s="115">
        <v>-122.4</v>
      </c>
      <c r="AL37" s="82">
        <v>-122.4</v>
      </c>
      <c r="AM37" s="83">
        <v>0</v>
      </c>
      <c r="AN37" s="115">
        <v>-4.2</v>
      </c>
      <c r="AO37" s="115">
        <v>-126.8</v>
      </c>
      <c r="AP37" s="82">
        <v>-126.8</v>
      </c>
      <c r="AQ37" s="83">
        <v>-21.6</v>
      </c>
      <c r="AR37" s="115">
        <v>-28.3</v>
      </c>
      <c r="AS37" s="115"/>
      <c r="AT37" s="82"/>
    </row>
    <row r="38" spans="1:46" s="74" customFormat="1" ht="20.100000000000001" customHeight="1">
      <c r="A38" s="90" t="s">
        <v>327</v>
      </c>
      <c r="B38" s="283" t="s">
        <v>328</v>
      </c>
      <c r="C38" s="85"/>
      <c r="D38" s="85"/>
      <c r="E38" s="85"/>
      <c r="F38" s="86"/>
      <c r="G38" s="85"/>
      <c r="H38" s="85"/>
      <c r="I38" s="85"/>
      <c r="J38" s="86"/>
      <c r="K38" s="85"/>
      <c r="L38" s="85"/>
      <c r="M38" s="85"/>
      <c r="N38" s="84"/>
      <c r="O38" s="83"/>
      <c r="P38" s="85"/>
      <c r="Q38" s="85"/>
      <c r="R38" s="82"/>
      <c r="S38" s="85">
        <v>0</v>
      </c>
      <c r="T38" s="85">
        <v>0</v>
      </c>
      <c r="U38" s="85">
        <v>0</v>
      </c>
      <c r="V38" s="82">
        <v>0</v>
      </c>
      <c r="W38" s="83">
        <v>0</v>
      </c>
      <c r="X38" s="115">
        <v>0</v>
      </c>
      <c r="Y38" s="115">
        <v>0</v>
      </c>
      <c r="Z38" s="82">
        <v>-662.5</v>
      </c>
      <c r="AA38" s="115">
        <v>-11.3</v>
      </c>
      <c r="AB38" s="115">
        <v>-15.7</v>
      </c>
      <c r="AC38" s="115">
        <v>-15.7</v>
      </c>
      <c r="AD38" s="82">
        <v>-16.100000000000001</v>
      </c>
      <c r="AE38" s="115">
        <v>0</v>
      </c>
      <c r="AF38" s="115">
        <v>-14.7</v>
      </c>
      <c r="AG38" s="115">
        <v>-14.7</v>
      </c>
      <c r="AH38" s="82">
        <v>-1232.5</v>
      </c>
      <c r="AI38" s="83">
        <v>0</v>
      </c>
      <c r="AJ38" s="115">
        <v>-14.7</v>
      </c>
      <c r="AK38" s="115">
        <v>-14.7</v>
      </c>
      <c r="AL38" s="82">
        <v>-1232.5</v>
      </c>
      <c r="AM38" s="83">
        <v>-7.4</v>
      </c>
      <c r="AN38" s="115">
        <v>-7.4</v>
      </c>
      <c r="AO38" s="115">
        <v>-18.8</v>
      </c>
      <c r="AP38" s="82">
        <v>-11.4</v>
      </c>
      <c r="AQ38" s="83">
        <v>0</v>
      </c>
      <c r="AR38" s="115">
        <v>-500</v>
      </c>
      <c r="AS38" s="115"/>
      <c r="AT38" s="82"/>
    </row>
    <row r="39" spans="1:46" s="74" customFormat="1" ht="25.5">
      <c r="A39" s="90" t="s">
        <v>329</v>
      </c>
      <c r="B39" s="283" t="s">
        <v>330</v>
      </c>
      <c r="C39" s="115">
        <v>-2.3290000000000002</v>
      </c>
      <c r="D39" s="115">
        <v>-45.099000000000004</v>
      </c>
      <c r="E39" s="115">
        <v>-45.329000000000001</v>
      </c>
      <c r="F39" s="82">
        <v>-45.710999999999999</v>
      </c>
      <c r="G39" s="83">
        <v>-0.153</v>
      </c>
      <c r="H39" s="115">
        <v>-0.26800000000000002</v>
      </c>
      <c r="I39" s="115">
        <v>-64.186999999999998</v>
      </c>
      <c r="J39" s="82">
        <v>-64.266000000000005</v>
      </c>
      <c r="K39" s="89">
        <v>0</v>
      </c>
      <c r="L39" s="84">
        <v>1800.4</v>
      </c>
      <c r="M39" s="84">
        <v>1800.4</v>
      </c>
      <c r="N39" s="84">
        <v>1800.4</v>
      </c>
      <c r="O39" s="83">
        <v>-4.2</v>
      </c>
      <c r="P39" s="115">
        <v>-29.5</v>
      </c>
      <c r="Q39" s="115">
        <v>-29.5</v>
      </c>
      <c r="R39" s="82">
        <v>-29.5</v>
      </c>
      <c r="S39" s="83">
        <v>262.2</v>
      </c>
      <c r="T39" s="115">
        <v>-145.30000000000001</v>
      </c>
      <c r="U39" s="115">
        <v>-144.4</v>
      </c>
      <c r="V39" s="82">
        <v>-144.4</v>
      </c>
      <c r="W39" s="83">
        <v>0</v>
      </c>
      <c r="X39" s="115">
        <v>0</v>
      </c>
      <c r="Y39" s="115">
        <v>1.6</v>
      </c>
      <c r="Z39" s="82">
        <v>-66.8</v>
      </c>
      <c r="AA39" s="115">
        <v>-16.7</v>
      </c>
      <c r="AB39" s="115">
        <v>-276.8</v>
      </c>
      <c r="AC39" s="115">
        <v>-453.7</v>
      </c>
      <c r="AD39" s="82">
        <v>-792.4</v>
      </c>
      <c r="AE39" s="115">
        <v>0</v>
      </c>
      <c r="AF39" s="115">
        <v>-63.8</v>
      </c>
      <c r="AG39" s="115">
        <v>-74.599999999999994</v>
      </c>
      <c r="AH39" s="82">
        <v>-108.5</v>
      </c>
      <c r="AI39" s="83">
        <v>0</v>
      </c>
      <c r="AJ39" s="115">
        <v>-63.8</v>
      </c>
      <c r="AK39" s="115">
        <v>-74.599999999999994</v>
      </c>
      <c r="AL39" s="82">
        <v>-108.5</v>
      </c>
      <c r="AM39" s="83">
        <v>-48.8</v>
      </c>
      <c r="AN39" s="115">
        <v>-48.8</v>
      </c>
      <c r="AO39" s="115">
        <v>-474.6</v>
      </c>
      <c r="AP39" s="82">
        <v>-479.2</v>
      </c>
      <c r="AQ39" s="83">
        <v>-0.7</v>
      </c>
      <c r="AR39" s="115">
        <v>-181.2</v>
      </c>
      <c r="AS39" s="115"/>
      <c r="AT39" s="82"/>
    </row>
    <row r="40" spans="1:46" s="361" customFormat="1" ht="25.5">
      <c r="A40" s="284" t="s">
        <v>331</v>
      </c>
      <c r="B40" s="285" t="s">
        <v>332</v>
      </c>
      <c r="C40" s="357"/>
      <c r="D40" s="357"/>
      <c r="E40" s="357"/>
      <c r="F40" s="358"/>
      <c r="G40" s="136"/>
      <c r="H40" s="357"/>
      <c r="I40" s="357"/>
      <c r="J40" s="358"/>
      <c r="K40" s="359"/>
      <c r="L40" s="360"/>
      <c r="M40" s="360"/>
      <c r="N40" s="360"/>
      <c r="O40" s="136"/>
      <c r="P40" s="357"/>
      <c r="Q40" s="357"/>
      <c r="R40" s="358"/>
      <c r="S40" s="136"/>
      <c r="T40" s="357"/>
      <c r="U40" s="357"/>
      <c r="V40" s="358"/>
      <c r="W40" s="136"/>
      <c r="X40" s="357"/>
      <c r="Y40" s="357"/>
      <c r="Z40" s="358"/>
      <c r="AA40" s="357"/>
      <c r="AB40" s="357"/>
      <c r="AC40" s="357"/>
      <c r="AD40" s="358"/>
      <c r="AE40" s="357"/>
      <c r="AF40" s="357">
        <v>-16.3</v>
      </c>
      <c r="AG40" s="357">
        <v>-16.3</v>
      </c>
      <c r="AH40" s="358">
        <v>-16.3</v>
      </c>
      <c r="AI40" s="136"/>
      <c r="AJ40" s="357">
        <v>-16.3</v>
      </c>
      <c r="AK40" s="357">
        <v>-16.3</v>
      </c>
      <c r="AL40" s="358">
        <v>-16.3</v>
      </c>
      <c r="AM40" s="136">
        <v>0</v>
      </c>
      <c r="AN40" s="357">
        <v>0</v>
      </c>
      <c r="AO40" s="357">
        <v>0</v>
      </c>
      <c r="AP40" s="358">
        <v>0</v>
      </c>
      <c r="AQ40" s="136">
        <v>0</v>
      </c>
      <c r="AR40" s="357">
        <v>0</v>
      </c>
      <c r="AS40" s="357"/>
      <c r="AT40" s="358"/>
    </row>
    <row r="41" spans="1:46" s="74" customFormat="1" ht="20.100000000000001" customHeight="1">
      <c r="A41" s="90" t="s">
        <v>333</v>
      </c>
      <c r="B41" s="283" t="s">
        <v>334</v>
      </c>
      <c r="C41" s="85">
        <v>0</v>
      </c>
      <c r="D41" s="85">
        <v>0</v>
      </c>
      <c r="E41" s="85">
        <v>0</v>
      </c>
      <c r="F41" s="86">
        <v>0</v>
      </c>
      <c r="G41" s="87">
        <v>0</v>
      </c>
      <c r="H41" s="85">
        <v>0</v>
      </c>
      <c r="I41" s="115">
        <v>48.219000000000001</v>
      </c>
      <c r="J41" s="82">
        <v>48.736000000000004</v>
      </c>
      <c r="K41" s="89">
        <v>0</v>
      </c>
      <c r="L41" s="84">
        <v>0</v>
      </c>
      <c r="M41" s="84">
        <v>0</v>
      </c>
      <c r="N41" s="84">
        <v>0</v>
      </c>
      <c r="O41" s="83">
        <v>0</v>
      </c>
      <c r="P41" s="115">
        <v>0</v>
      </c>
      <c r="Q41" s="115">
        <v>0</v>
      </c>
      <c r="R41" s="82">
        <v>0</v>
      </c>
      <c r="S41" s="83">
        <v>0</v>
      </c>
      <c r="T41" s="115">
        <v>0.2</v>
      </c>
      <c r="U41" s="115">
        <v>0.2</v>
      </c>
      <c r="V41" s="82">
        <v>0</v>
      </c>
      <c r="W41" s="83">
        <v>0</v>
      </c>
      <c r="X41" s="115">
        <v>0</v>
      </c>
      <c r="Y41" s="115">
        <v>0</v>
      </c>
      <c r="Z41" s="82">
        <v>0</v>
      </c>
      <c r="AA41" s="115">
        <v>0</v>
      </c>
      <c r="AB41" s="115">
        <v>0</v>
      </c>
      <c r="AC41" s="115">
        <v>0</v>
      </c>
      <c r="AD41" s="82">
        <v>0</v>
      </c>
      <c r="AE41" s="115">
        <v>0</v>
      </c>
      <c r="AF41" s="115">
        <v>0</v>
      </c>
      <c r="AG41" s="115"/>
      <c r="AH41" s="82">
        <v>0</v>
      </c>
      <c r="AI41" s="83">
        <v>0</v>
      </c>
      <c r="AJ41" s="115">
        <v>0</v>
      </c>
      <c r="AK41" s="115">
        <v>0</v>
      </c>
      <c r="AL41" s="82">
        <v>0</v>
      </c>
      <c r="AM41" s="83">
        <v>0</v>
      </c>
      <c r="AN41" s="115">
        <v>0</v>
      </c>
      <c r="AO41" s="115">
        <v>0</v>
      </c>
      <c r="AP41" s="82">
        <v>0</v>
      </c>
      <c r="AQ41" s="83">
        <v>0</v>
      </c>
      <c r="AR41" s="115">
        <v>0</v>
      </c>
      <c r="AS41" s="115"/>
      <c r="AT41" s="82"/>
    </row>
    <row r="42" spans="1:46" s="74" customFormat="1" ht="20.100000000000001" customHeight="1">
      <c r="A42" s="90" t="s">
        <v>335</v>
      </c>
      <c r="B42" s="283" t="s">
        <v>336</v>
      </c>
      <c r="C42" s="115">
        <v>0.09</v>
      </c>
      <c r="D42" s="115">
        <v>0.121</v>
      </c>
      <c r="E42" s="115">
        <v>0.69000000000000006</v>
      </c>
      <c r="F42" s="82">
        <v>0.751</v>
      </c>
      <c r="G42" s="83">
        <v>0.35000000000000003</v>
      </c>
      <c r="H42" s="115">
        <v>0.41000000000000003</v>
      </c>
      <c r="I42" s="115">
        <v>1.756</v>
      </c>
      <c r="J42" s="82">
        <v>2.0640000000000001</v>
      </c>
      <c r="K42" s="89">
        <v>0.33700000000000002</v>
      </c>
      <c r="L42" s="84">
        <v>1.6</v>
      </c>
      <c r="M42" s="84">
        <v>4</v>
      </c>
      <c r="N42" s="84">
        <v>4.0999999999999996</v>
      </c>
      <c r="O42" s="83">
        <v>0.2</v>
      </c>
      <c r="P42" s="115">
        <v>13.3</v>
      </c>
      <c r="Q42" s="115">
        <v>15.1</v>
      </c>
      <c r="R42" s="82">
        <v>16.899999999999999</v>
      </c>
      <c r="S42" s="83">
        <v>3.5</v>
      </c>
      <c r="T42" s="115">
        <v>5</v>
      </c>
      <c r="U42" s="115">
        <v>6.3</v>
      </c>
      <c r="V42" s="82">
        <v>9.5</v>
      </c>
      <c r="W42" s="83">
        <v>12.8</v>
      </c>
      <c r="X42" s="115">
        <v>16</v>
      </c>
      <c r="Y42" s="115">
        <v>15.8</v>
      </c>
      <c r="Z42" s="82">
        <v>19.3</v>
      </c>
      <c r="AA42" s="115">
        <v>3.4</v>
      </c>
      <c r="AB42" s="115">
        <v>10.6</v>
      </c>
      <c r="AC42" s="115">
        <v>11.6</v>
      </c>
      <c r="AD42" s="82">
        <v>11.6</v>
      </c>
      <c r="AE42" s="115">
        <v>2.5</v>
      </c>
      <c r="AF42" s="115">
        <v>4.2</v>
      </c>
      <c r="AG42" s="115">
        <v>4.8</v>
      </c>
      <c r="AH42" s="82">
        <v>6.8</v>
      </c>
      <c r="AI42" s="83">
        <v>2.5</v>
      </c>
      <c r="AJ42" s="115">
        <v>4.2</v>
      </c>
      <c r="AK42" s="115">
        <v>4.8</v>
      </c>
      <c r="AL42" s="82">
        <v>6.8</v>
      </c>
      <c r="AM42" s="83">
        <v>1.7</v>
      </c>
      <c r="AN42" s="115">
        <v>4.4000000000000004</v>
      </c>
      <c r="AO42" s="115">
        <v>5.5</v>
      </c>
      <c r="AP42" s="82">
        <v>8.4</v>
      </c>
      <c r="AQ42" s="83">
        <v>3.4</v>
      </c>
      <c r="AR42" s="115">
        <v>4</v>
      </c>
      <c r="AS42" s="115"/>
      <c r="AT42" s="82"/>
    </row>
    <row r="43" spans="1:46" s="74" customFormat="1" ht="20.100000000000001" customHeight="1">
      <c r="A43" s="90" t="s">
        <v>337</v>
      </c>
      <c r="B43" s="283" t="s">
        <v>338</v>
      </c>
      <c r="C43" s="115"/>
      <c r="D43" s="115"/>
      <c r="E43" s="115"/>
      <c r="F43" s="82"/>
      <c r="G43" s="83"/>
      <c r="H43" s="115"/>
      <c r="I43" s="115"/>
      <c r="J43" s="82"/>
      <c r="K43" s="89"/>
      <c r="L43" s="84"/>
      <c r="M43" s="84"/>
      <c r="N43" s="84"/>
      <c r="O43" s="83"/>
      <c r="P43" s="115"/>
      <c r="Q43" s="115"/>
      <c r="R43" s="82"/>
      <c r="S43" s="83"/>
      <c r="T43" s="115"/>
      <c r="U43" s="115"/>
      <c r="V43" s="82"/>
      <c r="W43" s="83"/>
      <c r="X43" s="115"/>
      <c r="Y43" s="115"/>
      <c r="Z43" s="82"/>
      <c r="AA43" s="115">
        <v>-45</v>
      </c>
      <c r="AB43" s="115">
        <f>-50+50.3</f>
        <v>0.29999999999999716</v>
      </c>
      <c r="AC43" s="115">
        <f>-95+95.4</f>
        <v>0.40000000000000568</v>
      </c>
      <c r="AD43" s="82">
        <f>-130+130.5</f>
        <v>0.5</v>
      </c>
      <c r="AE43" s="115">
        <v>0.1</v>
      </c>
      <c r="AF43" s="115">
        <v>0.3</v>
      </c>
      <c r="AG43" s="115">
        <f>100.5-100</f>
        <v>0.5</v>
      </c>
      <c r="AH43" s="82">
        <v>0.69999999999998863</v>
      </c>
      <c r="AI43" s="83">
        <v>0.1</v>
      </c>
      <c r="AJ43" s="115">
        <v>0.3</v>
      </c>
      <c r="AK43" s="115">
        <v>0.5</v>
      </c>
      <c r="AL43" s="82">
        <v>0.69999999999998863</v>
      </c>
      <c r="AM43" s="83">
        <v>0</v>
      </c>
      <c r="AN43" s="115">
        <v>0</v>
      </c>
      <c r="AO43" s="115">
        <v>0</v>
      </c>
      <c r="AP43" s="82">
        <v>0</v>
      </c>
      <c r="AQ43" s="83">
        <v>0</v>
      </c>
      <c r="AR43" s="115">
        <v>0</v>
      </c>
      <c r="AS43" s="115"/>
      <c r="AT43" s="82"/>
    </row>
    <row r="44" spans="1:46" s="74" customFormat="1" ht="20.100000000000001" customHeight="1">
      <c r="A44" s="90" t="s">
        <v>339</v>
      </c>
      <c r="B44" s="283" t="s">
        <v>173</v>
      </c>
      <c r="C44" s="85">
        <v>0</v>
      </c>
      <c r="D44" s="85">
        <v>0</v>
      </c>
      <c r="E44" s="85">
        <v>0</v>
      </c>
      <c r="F44" s="86">
        <v>0</v>
      </c>
      <c r="G44" s="87">
        <v>0</v>
      </c>
      <c r="H44" s="85">
        <v>0</v>
      </c>
      <c r="I44" s="85">
        <v>0</v>
      </c>
      <c r="J44" s="86">
        <v>0</v>
      </c>
      <c r="K44" s="89">
        <v>0</v>
      </c>
      <c r="L44" s="84">
        <v>-270</v>
      </c>
      <c r="M44" s="84">
        <v>-30</v>
      </c>
      <c r="N44" s="84">
        <v>0</v>
      </c>
      <c r="O44" s="83">
        <v>-42.7</v>
      </c>
      <c r="P44" s="115">
        <v>-42.7</v>
      </c>
      <c r="Q44" s="115">
        <v>0</v>
      </c>
      <c r="R44" s="82">
        <v>0</v>
      </c>
      <c r="S44" s="83">
        <v>-12.4</v>
      </c>
      <c r="T44" s="115">
        <v>0</v>
      </c>
      <c r="U44" s="115">
        <v>0</v>
      </c>
      <c r="V44" s="82">
        <v>0</v>
      </c>
      <c r="W44" s="83">
        <v>0</v>
      </c>
      <c r="X44" s="115">
        <v>0</v>
      </c>
      <c r="Y44" s="115">
        <v>0</v>
      </c>
      <c r="Z44" s="82">
        <v>0</v>
      </c>
      <c r="AA44" s="115">
        <v>0</v>
      </c>
      <c r="AB44" s="115">
        <v>0</v>
      </c>
      <c r="AC44" s="115">
        <v>0</v>
      </c>
      <c r="AD44" s="82">
        <v>0</v>
      </c>
      <c r="AE44" s="115">
        <v>0</v>
      </c>
      <c r="AF44" s="115">
        <v>0</v>
      </c>
      <c r="AG44" s="115">
        <v>0</v>
      </c>
      <c r="AH44" s="82">
        <v>0</v>
      </c>
      <c r="AI44" s="83">
        <v>0</v>
      </c>
      <c r="AJ44" s="115">
        <v>0</v>
      </c>
      <c r="AK44" s="115">
        <v>0</v>
      </c>
      <c r="AL44" s="82">
        <v>0</v>
      </c>
      <c r="AM44" s="83">
        <v>0</v>
      </c>
      <c r="AN44" s="115">
        <v>0</v>
      </c>
      <c r="AO44" s="115">
        <v>0</v>
      </c>
      <c r="AP44" s="82">
        <v>0</v>
      </c>
      <c r="AQ44" s="83">
        <v>0</v>
      </c>
      <c r="AR44" s="115">
        <v>0</v>
      </c>
      <c r="AS44" s="115"/>
      <c r="AT44" s="82"/>
    </row>
    <row r="45" spans="1:46" s="74" customFormat="1" ht="20.100000000000001" customHeight="1">
      <c r="A45" s="90" t="s">
        <v>340</v>
      </c>
      <c r="B45" s="283" t="s">
        <v>341</v>
      </c>
      <c r="C45" s="115">
        <v>-1.1000000000000001</v>
      </c>
      <c r="D45" s="115">
        <v>-1.1000000000000001</v>
      </c>
      <c r="E45" s="115">
        <v>-1.1000000000000001</v>
      </c>
      <c r="F45" s="82">
        <v>-1.1000000000000001</v>
      </c>
      <c r="G45" s="87">
        <v>0</v>
      </c>
      <c r="H45" s="85">
        <v>0</v>
      </c>
      <c r="I45" s="85">
        <v>0</v>
      </c>
      <c r="J45" s="86">
        <v>0</v>
      </c>
      <c r="K45" s="89">
        <v>0</v>
      </c>
      <c r="L45" s="84">
        <v>-5.8</v>
      </c>
      <c r="M45" s="84">
        <v>-20.399999999999999</v>
      </c>
      <c r="N45" s="84">
        <v>-23.1</v>
      </c>
      <c r="O45" s="83">
        <v>-6</v>
      </c>
      <c r="P45" s="115">
        <v>-8.9</v>
      </c>
      <c r="Q45" s="115">
        <v>-12.1</v>
      </c>
      <c r="R45" s="82">
        <v>-16.100000000000001</v>
      </c>
      <c r="S45" s="83">
        <v>-6.8</v>
      </c>
      <c r="T45" s="115">
        <v>-9.5</v>
      </c>
      <c r="U45" s="115">
        <v>-10.5</v>
      </c>
      <c r="V45" s="82">
        <v>-11.6</v>
      </c>
      <c r="W45" s="83">
        <v>0</v>
      </c>
      <c r="X45" s="115">
        <v>0</v>
      </c>
      <c r="Y45" s="115">
        <v>-28.6</v>
      </c>
      <c r="Z45" s="82">
        <v>-31.1</v>
      </c>
      <c r="AA45" s="115">
        <v>-11</v>
      </c>
      <c r="AB45" s="115">
        <v>-11</v>
      </c>
      <c r="AC45" s="115">
        <v>-11</v>
      </c>
      <c r="AD45" s="82">
        <v>-12.4</v>
      </c>
      <c r="AE45" s="115">
        <v>-12.9</v>
      </c>
      <c r="AF45" s="115">
        <v>-14.6</v>
      </c>
      <c r="AG45" s="115">
        <v>-15.3</v>
      </c>
      <c r="AH45" s="82">
        <v>-21.4</v>
      </c>
      <c r="AI45" s="83">
        <v>-12.9</v>
      </c>
      <c r="AJ45" s="115">
        <v>-14.6</v>
      </c>
      <c r="AK45" s="115">
        <v>-15.3</v>
      </c>
      <c r="AL45" s="82">
        <v>-21.4</v>
      </c>
      <c r="AM45" s="83">
        <v>-5</v>
      </c>
      <c r="AN45" s="115">
        <v>-8.3000000000000007</v>
      </c>
      <c r="AO45" s="115">
        <v>-12.2</v>
      </c>
      <c r="AP45" s="82">
        <v>-13</v>
      </c>
      <c r="AQ45" s="83">
        <v>-2</v>
      </c>
      <c r="AR45" s="115">
        <v>-5.7</v>
      </c>
      <c r="AS45" s="115"/>
      <c r="AT45" s="82"/>
    </row>
    <row r="46" spans="1:46" s="74" customFormat="1" ht="20.100000000000001" customHeight="1">
      <c r="A46" s="90" t="s">
        <v>342</v>
      </c>
      <c r="B46" s="283" t="s">
        <v>343</v>
      </c>
      <c r="C46" s="115">
        <v>0</v>
      </c>
      <c r="D46" s="115">
        <v>1.1000000000000001</v>
      </c>
      <c r="E46" s="115">
        <v>1.1000000000000001</v>
      </c>
      <c r="F46" s="82">
        <v>1.1000000000000001</v>
      </c>
      <c r="G46" s="87">
        <v>0</v>
      </c>
      <c r="H46" s="85">
        <v>0</v>
      </c>
      <c r="I46" s="85">
        <v>0</v>
      </c>
      <c r="J46" s="86">
        <v>0</v>
      </c>
      <c r="K46" s="89">
        <v>0</v>
      </c>
      <c r="L46" s="84">
        <v>0</v>
      </c>
      <c r="M46" s="84">
        <v>0</v>
      </c>
      <c r="N46" s="84">
        <v>0</v>
      </c>
      <c r="O46" s="83">
        <v>0</v>
      </c>
      <c r="P46" s="115">
        <v>0</v>
      </c>
      <c r="Q46" s="115">
        <v>0</v>
      </c>
      <c r="R46" s="82">
        <v>0</v>
      </c>
      <c r="S46" s="83">
        <v>0</v>
      </c>
      <c r="T46" s="115">
        <v>0</v>
      </c>
      <c r="U46" s="115">
        <v>0</v>
      </c>
      <c r="V46" s="82">
        <v>0.1</v>
      </c>
      <c r="W46" s="83">
        <v>0</v>
      </c>
      <c r="X46" s="115">
        <v>0</v>
      </c>
      <c r="Y46" s="115">
        <v>25</v>
      </c>
      <c r="Z46" s="82">
        <v>30.5</v>
      </c>
      <c r="AA46" s="115">
        <v>0</v>
      </c>
      <c r="AB46" s="115">
        <v>6.4</v>
      </c>
      <c r="AC46" s="115">
        <v>30</v>
      </c>
      <c r="AD46" s="82">
        <v>29.3</v>
      </c>
      <c r="AE46" s="115">
        <v>0</v>
      </c>
      <c r="AF46" s="115">
        <v>0</v>
      </c>
      <c r="AG46" s="115">
        <v>0</v>
      </c>
      <c r="AH46" s="82">
        <v>0.7</v>
      </c>
      <c r="AI46" s="83">
        <v>0</v>
      </c>
      <c r="AJ46" s="115">
        <v>0</v>
      </c>
      <c r="AK46" s="115">
        <v>0</v>
      </c>
      <c r="AL46" s="82">
        <v>0.7</v>
      </c>
      <c r="AM46" s="83">
        <v>0</v>
      </c>
      <c r="AN46" s="115">
        <v>0</v>
      </c>
      <c r="AO46" s="115">
        <v>0</v>
      </c>
      <c r="AP46" s="82">
        <v>0</v>
      </c>
      <c r="AQ46" s="83">
        <v>0</v>
      </c>
      <c r="AR46" s="115">
        <v>0</v>
      </c>
      <c r="AS46" s="115"/>
      <c r="AT46" s="82"/>
    </row>
    <row r="47" spans="1:46" s="74" customFormat="1" ht="20.100000000000001" customHeight="1">
      <c r="A47" s="90" t="s">
        <v>344</v>
      </c>
      <c r="B47" s="283" t="s">
        <v>345</v>
      </c>
      <c r="C47" s="85">
        <v>0</v>
      </c>
      <c r="D47" s="85">
        <v>0</v>
      </c>
      <c r="E47" s="85">
        <v>0</v>
      </c>
      <c r="F47" s="86">
        <v>0</v>
      </c>
      <c r="G47" s="87">
        <v>0</v>
      </c>
      <c r="H47" s="85">
        <v>0</v>
      </c>
      <c r="I47" s="85">
        <v>0</v>
      </c>
      <c r="J47" s="86">
        <v>0</v>
      </c>
      <c r="K47" s="89">
        <v>0</v>
      </c>
      <c r="L47" s="84">
        <v>5</v>
      </c>
      <c r="M47" s="84">
        <v>5.5</v>
      </c>
      <c r="N47" s="84">
        <v>6.6</v>
      </c>
      <c r="O47" s="83">
        <v>1.2</v>
      </c>
      <c r="P47" s="115">
        <v>-2.1</v>
      </c>
      <c r="Q47" s="115">
        <v>3.2</v>
      </c>
      <c r="R47" s="82">
        <v>3.9</v>
      </c>
      <c r="S47" s="83">
        <v>-5</v>
      </c>
      <c r="T47" s="115">
        <v>-4</v>
      </c>
      <c r="U47" s="115">
        <v>-3.5</v>
      </c>
      <c r="V47" s="82">
        <v>-1.6</v>
      </c>
      <c r="W47" s="83">
        <v>-1.1000000000000001</v>
      </c>
      <c r="X47" s="115">
        <v>0</v>
      </c>
      <c r="Y47" s="116" t="s">
        <v>346</v>
      </c>
      <c r="Z47" s="317" t="s">
        <v>346</v>
      </c>
      <c r="AA47" s="115">
        <v>-1.5</v>
      </c>
      <c r="AB47" s="115">
        <v>0</v>
      </c>
      <c r="AC47" s="115">
        <v>0</v>
      </c>
      <c r="AD47" s="317">
        <v>0</v>
      </c>
      <c r="AE47" s="115">
        <v>0</v>
      </c>
      <c r="AF47" s="115">
        <v>0</v>
      </c>
      <c r="AG47" s="115">
        <v>0</v>
      </c>
      <c r="AH47" s="317">
        <v>0</v>
      </c>
      <c r="AI47" s="83">
        <v>0</v>
      </c>
      <c r="AJ47" s="115">
        <v>0</v>
      </c>
      <c r="AK47" s="115">
        <v>0</v>
      </c>
      <c r="AL47" s="317">
        <v>0</v>
      </c>
      <c r="AM47" s="83">
        <v>0</v>
      </c>
      <c r="AN47" s="115">
        <v>0</v>
      </c>
      <c r="AO47" s="115">
        <v>0</v>
      </c>
      <c r="AP47" s="317">
        <v>0</v>
      </c>
      <c r="AQ47" s="83">
        <v>0</v>
      </c>
      <c r="AR47" s="115">
        <v>0</v>
      </c>
      <c r="AS47" s="115"/>
      <c r="AT47" s="317"/>
    </row>
    <row r="48" spans="1:46" s="74" customFormat="1" ht="20.100000000000001" customHeight="1">
      <c r="A48" s="90" t="s">
        <v>347</v>
      </c>
      <c r="B48" s="283" t="s">
        <v>348</v>
      </c>
      <c r="C48" s="85">
        <v>0</v>
      </c>
      <c r="D48" s="115">
        <v>1.258</v>
      </c>
      <c r="E48" s="115">
        <v>1.258</v>
      </c>
      <c r="F48" s="82">
        <v>2.706</v>
      </c>
      <c r="G48" s="83">
        <v>0</v>
      </c>
      <c r="H48" s="115">
        <v>2.5150000000000001</v>
      </c>
      <c r="I48" s="115">
        <v>2.5150000000000001</v>
      </c>
      <c r="J48" s="82">
        <v>2.5150000000000001</v>
      </c>
      <c r="K48" s="84">
        <v>2.5300000000000002</v>
      </c>
      <c r="L48" s="84">
        <v>2.5</v>
      </c>
      <c r="M48" s="84">
        <v>2.5</v>
      </c>
      <c r="N48" s="84">
        <v>2.5</v>
      </c>
      <c r="O48" s="83">
        <v>0</v>
      </c>
      <c r="P48" s="115">
        <v>0</v>
      </c>
      <c r="Q48" s="115">
        <v>0</v>
      </c>
      <c r="R48" s="82">
        <v>0</v>
      </c>
      <c r="S48" s="83">
        <v>0</v>
      </c>
      <c r="T48" s="115">
        <v>0</v>
      </c>
      <c r="U48" s="115">
        <v>0</v>
      </c>
      <c r="V48" s="82">
        <v>0</v>
      </c>
      <c r="W48" s="83">
        <v>0</v>
      </c>
      <c r="X48" s="115">
        <v>0</v>
      </c>
      <c r="Y48" s="115">
        <v>0</v>
      </c>
      <c r="Z48" s="82">
        <v>0</v>
      </c>
      <c r="AA48" s="115">
        <v>0</v>
      </c>
      <c r="AB48" s="115">
        <v>0</v>
      </c>
      <c r="AC48" s="115">
        <v>0</v>
      </c>
      <c r="AD48" s="82">
        <v>0</v>
      </c>
      <c r="AE48" s="115">
        <v>0</v>
      </c>
      <c r="AF48" s="115">
        <v>0</v>
      </c>
      <c r="AG48" s="115">
        <v>0</v>
      </c>
      <c r="AH48" s="82">
        <v>0</v>
      </c>
      <c r="AI48" s="83">
        <v>0</v>
      </c>
      <c r="AJ48" s="115">
        <v>0</v>
      </c>
      <c r="AK48" s="115">
        <v>0</v>
      </c>
      <c r="AL48" s="82">
        <v>0</v>
      </c>
      <c r="AM48" s="83">
        <v>0</v>
      </c>
      <c r="AN48" s="115">
        <v>56.8</v>
      </c>
      <c r="AO48" s="115">
        <v>57.2</v>
      </c>
      <c r="AP48" s="82">
        <v>57.2</v>
      </c>
      <c r="AQ48" s="83">
        <v>0</v>
      </c>
      <c r="AR48" s="362">
        <v>59.2</v>
      </c>
      <c r="AS48" s="115"/>
      <c r="AT48" s="82"/>
    </row>
    <row r="49" spans="1:46" s="361" customFormat="1" ht="20.100000000000001" customHeight="1">
      <c r="A49" s="284" t="s">
        <v>349</v>
      </c>
      <c r="B49" s="285" t="s">
        <v>350</v>
      </c>
      <c r="C49" s="363"/>
      <c r="D49" s="357"/>
      <c r="E49" s="357"/>
      <c r="F49" s="358"/>
      <c r="G49" s="136"/>
      <c r="H49" s="357"/>
      <c r="I49" s="357"/>
      <c r="J49" s="358"/>
      <c r="K49" s="360"/>
      <c r="L49" s="360"/>
      <c r="M49" s="360"/>
      <c r="N49" s="360"/>
      <c r="O49" s="136"/>
      <c r="P49" s="357"/>
      <c r="Q49" s="357"/>
      <c r="R49" s="358"/>
      <c r="S49" s="136"/>
      <c r="T49" s="357"/>
      <c r="U49" s="357"/>
      <c r="V49" s="358"/>
      <c r="W49" s="136"/>
      <c r="X49" s="357"/>
      <c r="Y49" s="357"/>
      <c r="Z49" s="358"/>
      <c r="AA49" s="357"/>
      <c r="AB49" s="357"/>
      <c r="AC49" s="357"/>
      <c r="AD49" s="358"/>
      <c r="AE49" s="357"/>
      <c r="AF49" s="357">
        <v>8.6999999999999993</v>
      </c>
      <c r="AG49" s="357">
        <v>8.6999999999999993</v>
      </c>
      <c r="AH49" s="358">
        <v>8.6999999999999993</v>
      </c>
      <c r="AI49" s="136"/>
      <c r="AJ49" s="357">
        <v>8.6999999999999993</v>
      </c>
      <c r="AK49" s="357">
        <v>8.6999999999999993</v>
      </c>
      <c r="AL49" s="358">
        <v>8.6999999999999993</v>
      </c>
      <c r="AM49" s="136">
        <v>0</v>
      </c>
      <c r="AN49" s="357">
        <v>1.4</v>
      </c>
      <c r="AO49" s="357">
        <v>1.4</v>
      </c>
      <c r="AP49" s="358">
        <v>1.4</v>
      </c>
      <c r="AQ49" s="136">
        <v>8.6</v>
      </c>
      <c r="AR49" s="362">
        <v>8.6</v>
      </c>
      <c r="AS49" s="357"/>
      <c r="AT49" s="358"/>
    </row>
    <row r="50" spans="1:46" s="74" customFormat="1" ht="20.100000000000001" customHeight="1">
      <c r="A50" s="90" t="s">
        <v>351</v>
      </c>
      <c r="B50" s="283" t="s">
        <v>352</v>
      </c>
      <c r="C50" s="85">
        <v>0</v>
      </c>
      <c r="D50" s="85">
        <v>0</v>
      </c>
      <c r="E50" s="85">
        <v>0</v>
      </c>
      <c r="F50" s="86">
        <v>0</v>
      </c>
      <c r="G50" s="87">
        <v>0</v>
      </c>
      <c r="H50" s="85">
        <v>0</v>
      </c>
      <c r="I50" s="85">
        <v>0</v>
      </c>
      <c r="J50" s="86">
        <v>0</v>
      </c>
      <c r="K50" s="89">
        <v>0</v>
      </c>
      <c r="L50" s="84">
        <v>0</v>
      </c>
      <c r="M50" s="84">
        <v>0</v>
      </c>
      <c r="N50" s="84">
        <v>0</v>
      </c>
      <c r="O50" s="83">
        <v>0</v>
      </c>
      <c r="P50" s="115">
        <v>0</v>
      </c>
      <c r="Q50" s="115">
        <v>0</v>
      </c>
      <c r="R50" s="82">
        <v>0</v>
      </c>
      <c r="S50" s="83">
        <v>0</v>
      </c>
      <c r="T50" s="115">
        <v>1</v>
      </c>
      <c r="U50" s="115">
        <v>1</v>
      </c>
      <c r="V50" s="82">
        <v>3.5</v>
      </c>
      <c r="W50" s="83">
        <v>1.2</v>
      </c>
      <c r="X50" s="115">
        <v>-0.5</v>
      </c>
      <c r="Y50" s="115">
        <v>5.9</v>
      </c>
      <c r="Z50" s="82">
        <v>6.4</v>
      </c>
      <c r="AA50" s="115">
        <v>1.1000000000000001</v>
      </c>
      <c r="AB50" s="115">
        <v>-0.9</v>
      </c>
      <c r="AC50" s="115">
        <v>-5.9</v>
      </c>
      <c r="AD50" s="82">
        <v>1.2</v>
      </c>
      <c r="AE50" s="115">
        <v>3</v>
      </c>
      <c r="AF50" s="115">
        <v>0.5</v>
      </c>
      <c r="AG50" s="115">
        <v>2.4</v>
      </c>
      <c r="AH50" s="82">
        <v>0.7</v>
      </c>
      <c r="AI50" s="83">
        <v>3</v>
      </c>
      <c r="AJ50" s="115">
        <v>0.5</v>
      </c>
      <c r="AK50" s="115">
        <v>2.4</v>
      </c>
      <c r="AL50" s="82">
        <v>0.7</v>
      </c>
      <c r="AM50" s="83">
        <v>2.9</v>
      </c>
      <c r="AN50" s="115">
        <v>1.8</v>
      </c>
      <c r="AO50" s="115">
        <v>3.3</v>
      </c>
      <c r="AP50" s="82">
        <v>3.3</v>
      </c>
      <c r="AQ50" s="83">
        <v>1.4</v>
      </c>
      <c r="AR50" s="530">
        <v>2</v>
      </c>
      <c r="AS50" s="115"/>
      <c r="AT50" s="82"/>
    </row>
    <row r="51" spans="1:46" s="374" customFormat="1" ht="24.95" customHeight="1">
      <c r="A51" s="531" t="s">
        <v>353</v>
      </c>
      <c r="B51" s="531" t="s">
        <v>354</v>
      </c>
      <c r="C51" s="532">
        <f t="shared" ref="C51:AN51" si="16">SUM(C34:C50)</f>
        <v>-24.143000000000004</v>
      </c>
      <c r="D51" s="533">
        <f t="shared" si="16"/>
        <v>-83.230000000000018</v>
      </c>
      <c r="E51" s="533">
        <f t="shared" si="16"/>
        <v>-107.08400000000002</v>
      </c>
      <c r="F51" s="534">
        <f t="shared" si="16"/>
        <v>-133.43099999999998</v>
      </c>
      <c r="G51" s="532">
        <f t="shared" si="16"/>
        <v>-34.882999999999996</v>
      </c>
      <c r="H51" s="533">
        <f t="shared" si="16"/>
        <v>-58.354000000000006</v>
      </c>
      <c r="I51" s="533">
        <f t="shared" si="16"/>
        <v>-110.15100000000002</v>
      </c>
      <c r="J51" s="534">
        <f t="shared" si="16"/>
        <v>-133.83700000000002</v>
      </c>
      <c r="K51" s="532">
        <f t="shared" si="16"/>
        <v>-36.552999999999997</v>
      </c>
      <c r="L51" s="533">
        <f t="shared" si="16"/>
        <v>1394.1000000000001</v>
      </c>
      <c r="M51" s="533">
        <f t="shared" si="16"/>
        <v>1042.3</v>
      </c>
      <c r="N51" s="534">
        <f t="shared" si="16"/>
        <v>972.80000000000007</v>
      </c>
      <c r="O51" s="532">
        <f t="shared" si="16"/>
        <v>-208.2</v>
      </c>
      <c r="P51" s="533">
        <f t="shared" si="16"/>
        <v>-347.59999999999997</v>
      </c>
      <c r="Q51" s="533">
        <f t="shared" si="16"/>
        <v>-576.29999999999995</v>
      </c>
      <c r="R51" s="534">
        <f t="shared" si="16"/>
        <v>-726.60000000000014</v>
      </c>
      <c r="S51" s="532">
        <f t="shared" si="16"/>
        <v>-24.899999999999988</v>
      </c>
      <c r="T51" s="533">
        <f t="shared" si="16"/>
        <v>-541.09999999999991</v>
      </c>
      <c r="U51" s="533">
        <f t="shared" si="16"/>
        <v>-815.19999999999993</v>
      </c>
      <c r="V51" s="534">
        <f t="shared" si="16"/>
        <v>-1003.4</v>
      </c>
      <c r="W51" s="532">
        <f t="shared" si="16"/>
        <v>-159.20000000000002</v>
      </c>
      <c r="X51" s="533">
        <f t="shared" si="16"/>
        <v>-367.5</v>
      </c>
      <c r="Y51" s="533">
        <f t="shared" si="16"/>
        <v>-657.20000000000016</v>
      </c>
      <c r="Z51" s="534">
        <f t="shared" si="16"/>
        <v>-1573.2999999999997</v>
      </c>
      <c r="AA51" s="532">
        <f t="shared" si="16"/>
        <v>-255.4</v>
      </c>
      <c r="AB51" s="533">
        <f t="shared" si="16"/>
        <v>-637.70000000000005</v>
      </c>
      <c r="AC51" s="533">
        <f t="shared" si="16"/>
        <v>-1197.3000000000002</v>
      </c>
      <c r="AD51" s="534">
        <f t="shared" si="16"/>
        <v>-1835.5</v>
      </c>
      <c r="AE51" s="532">
        <f t="shared" si="16"/>
        <v>-367.19999999999993</v>
      </c>
      <c r="AF51" s="533">
        <f t="shared" si="16"/>
        <v>-731.99999999999989</v>
      </c>
      <c r="AG51" s="533">
        <f t="shared" si="16"/>
        <v>-1181.4999999999998</v>
      </c>
      <c r="AH51" s="534">
        <f t="shared" si="16"/>
        <v>-2715.1000000000008</v>
      </c>
      <c r="AI51" s="532">
        <f t="shared" si="16"/>
        <v>-367.19999999999993</v>
      </c>
      <c r="AJ51" s="533">
        <f t="shared" si="16"/>
        <v>-731.99999999999989</v>
      </c>
      <c r="AK51" s="533">
        <f t="shared" si="16"/>
        <v>-1181.4999999999998</v>
      </c>
      <c r="AL51" s="534">
        <f t="shared" si="16"/>
        <v>-2715.1000000000008</v>
      </c>
      <c r="AM51" s="532">
        <f t="shared" si="16"/>
        <v>-364</v>
      </c>
      <c r="AN51" s="533">
        <f t="shared" si="16"/>
        <v>-544.1</v>
      </c>
      <c r="AO51" s="533">
        <v>-1361</v>
      </c>
      <c r="AP51" s="534">
        <f>SUM(AP34:AP50)</f>
        <v>-1786.3</v>
      </c>
      <c r="AQ51" s="532">
        <f>SUM(AQ34:AQ50)</f>
        <v>-374.20000000000005</v>
      </c>
      <c r="AR51" s="533">
        <f>SUM(AR34:AR50)</f>
        <v>-1339.2</v>
      </c>
      <c r="AS51" s="533">
        <f>SUM(AS34:AS50)</f>
        <v>0</v>
      </c>
      <c r="AT51" s="534">
        <f>SUM(AT34:AT50)</f>
        <v>0</v>
      </c>
    </row>
    <row r="52" spans="1:46" s="74" customFormat="1" ht="20.100000000000001" customHeight="1">
      <c r="A52" s="90" t="s">
        <v>355</v>
      </c>
      <c r="B52" s="283" t="s">
        <v>356</v>
      </c>
      <c r="C52" s="115">
        <v>-26.754999999999999</v>
      </c>
      <c r="D52" s="115">
        <v>-155.76300000000001</v>
      </c>
      <c r="E52" s="115">
        <v>-397.57499999999999</v>
      </c>
      <c r="F52" s="82">
        <v>-453.32400000000001</v>
      </c>
      <c r="G52" s="83">
        <v>-49.813000000000002</v>
      </c>
      <c r="H52" s="115">
        <v>-192.59</v>
      </c>
      <c r="I52" s="115">
        <v>-366.16200000000003</v>
      </c>
      <c r="J52" s="82">
        <v>-431.11700000000002</v>
      </c>
      <c r="K52" s="84">
        <v>-37.393999999999998</v>
      </c>
      <c r="L52" s="84">
        <v>-547.1</v>
      </c>
      <c r="M52" s="84">
        <v>-747.1</v>
      </c>
      <c r="N52" s="84">
        <v>-1087.0999999999999</v>
      </c>
      <c r="O52" s="83">
        <v>-157</v>
      </c>
      <c r="P52" s="115">
        <v>-954.2</v>
      </c>
      <c r="Q52" s="115">
        <v>-9222.2000000000007</v>
      </c>
      <c r="R52" s="82">
        <v>-9222.2000000000007</v>
      </c>
      <c r="S52" s="83">
        <v>-916.1</v>
      </c>
      <c r="T52" s="115">
        <v>-1498.9</v>
      </c>
      <c r="U52" s="115">
        <v>-1706.9</v>
      </c>
      <c r="V52" s="82">
        <v>-1940.9</v>
      </c>
      <c r="W52" s="83">
        <v>-234</v>
      </c>
      <c r="X52" s="115">
        <v>-568</v>
      </c>
      <c r="Y52" s="115">
        <v>-802</v>
      </c>
      <c r="Z52" s="82">
        <v>-1162.5</v>
      </c>
      <c r="AA52" s="115">
        <v>-550</v>
      </c>
      <c r="AB52" s="115">
        <v>-652</v>
      </c>
      <c r="AC52" s="115">
        <v>-1077.8</v>
      </c>
      <c r="AD52" s="82">
        <v>-1282.2</v>
      </c>
      <c r="AE52" s="115">
        <v>-584.4</v>
      </c>
      <c r="AF52" s="115">
        <v>-851.6</v>
      </c>
      <c r="AG52" s="115">
        <v>-1406</v>
      </c>
      <c r="AH52" s="82">
        <v>-1742.5</v>
      </c>
      <c r="AI52" s="83">
        <v>-584.4</v>
      </c>
      <c r="AJ52" s="115">
        <v>-851.6</v>
      </c>
      <c r="AK52" s="115">
        <v>-1406</v>
      </c>
      <c r="AL52" s="82">
        <v>-1742.5</v>
      </c>
      <c r="AM52" s="83">
        <v>-857.2</v>
      </c>
      <c r="AN52" s="115">
        <v>-857.9</v>
      </c>
      <c r="AO52" s="115">
        <v>-857.9</v>
      </c>
      <c r="AP52" s="82">
        <v>-857.9</v>
      </c>
      <c r="AQ52" s="83">
        <v>0</v>
      </c>
      <c r="AR52" s="115">
        <v>-200</v>
      </c>
      <c r="AS52" s="115"/>
      <c r="AT52" s="82"/>
    </row>
    <row r="53" spans="1:46" s="74" customFormat="1" ht="20.100000000000001" customHeight="1">
      <c r="A53" s="90" t="s">
        <v>357</v>
      </c>
      <c r="B53" s="283" t="s">
        <v>358</v>
      </c>
      <c r="C53" s="85">
        <v>0</v>
      </c>
      <c r="D53" s="85">
        <v>0</v>
      </c>
      <c r="E53" s="85">
        <v>0</v>
      </c>
      <c r="F53" s="86">
        <v>0</v>
      </c>
      <c r="G53" s="87">
        <v>0</v>
      </c>
      <c r="H53" s="85">
        <v>0</v>
      </c>
      <c r="I53" s="85">
        <v>0</v>
      </c>
      <c r="J53" s="86">
        <v>0</v>
      </c>
      <c r="K53" s="89">
        <v>0</v>
      </c>
      <c r="L53" s="84">
        <v>2800</v>
      </c>
      <c r="M53" s="84">
        <v>2800</v>
      </c>
      <c r="N53" s="84">
        <v>2800</v>
      </c>
      <c r="O53" s="83">
        <v>50</v>
      </c>
      <c r="P53" s="115">
        <v>120</v>
      </c>
      <c r="Q53" s="115">
        <v>6820</v>
      </c>
      <c r="R53" s="82">
        <v>6820</v>
      </c>
      <c r="S53" s="83">
        <v>5500</v>
      </c>
      <c r="T53" s="115">
        <v>5500</v>
      </c>
      <c r="U53" s="115">
        <v>5500</v>
      </c>
      <c r="V53" s="82">
        <v>5500</v>
      </c>
      <c r="W53" s="83">
        <v>0</v>
      </c>
      <c r="X53" s="115">
        <v>600</v>
      </c>
      <c r="Y53" s="115">
        <v>600</v>
      </c>
      <c r="Z53" s="82">
        <v>1200</v>
      </c>
      <c r="AA53" s="115">
        <v>0</v>
      </c>
      <c r="AB53" s="115">
        <v>18.100000000000001</v>
      </c>
      <c r="AC53" s="115">
        <v>635.29999999999995</v>
      </c>
      <c r="AD53" s="82">
        <v>635.29999999999995</v>
      </c>
      <c r="AE53" s="115">
        <v>0</v>
      </c>
      <c r="AF53" s="115">
        <v>0</v>
      </c>
      <c r="AG53" s="115">
        <v>780</v>
      </c>
      <c r="AH53" s="82">
        <v>2010</v>
      </c>
      <c r="AI53" s="83">
        <v>0</v>
      </c>
      <c r="AJ53" s="115">
        <v>0</v>
      </c>
      <c r="AK53" s="115">
        <v>780</v>
      </c>
      <c r="AL53" s="82">
        <v>2010</v>
      </c>
      <c r="AM53" s="83">
        <v>35</v>
      </c>
      <c r="AN53" s="115">
        <v>35</v>
      </c>
      <c r="AO53" s="115">
        <v>35</v>
      </c>
      <c r="AP53" s="82">
        <v>35</v>
      </c>
      <c r="AQ53" s="83">
        <v>0</v>
      </c>
      <c r="AR53" s="115">
        <v>110</v>
      </c>
      <c r="AS53" s="115"/>
      <c r="AT53" s="82"/>
    </row>
    <row r="54" spans="1:46" s="361" customFormat="1" ht="20.100000000000001" customHeight="1">
      <c r="A54" s="284" t="s">
        <v>359</v>
      </c>
      <c r="B54" s="285" t="s">
        <v>360</v>
      </c>
      <c r="C54" s="363">
        <v>0</v>
      </c>
      <c r="D54" s="363">
        <v>0</v>
      </c>
      <c r="E54" s="363">
        <v>0</v>
      </c>
      <c r="F54" s="364">
        <v>0</v>
      </c>
      <c r="G54" s="365">
        <v>0</v>
      </c>
      <c r="H54" s="363">
        <v>0</v>
      </c>
      <c r="I54" s="363">
        <v>0</v>
      </c>
      <c r="J54" s="364">
        <v>0</v>
      </c>
      <c r="K54" s="359">
        <v>0</v>
      </c>
      <c r="L54" s="360">
        <v>-2275.9</v>
      </c>
      <c r="M54" s="360">
        <v>-2275.9</v>
      </c>
      <c r="N54" s="360">
        <v>-2275.9</v>
      </c>
      <c r="O54" s="136">
        <v>0</v>
      </c>
      <c r="P54" s="357">
        <v>0</v>
      </c>
      <c r="Q54" s="357">
        <v>1000</v>
      </c>
      <c r="R54" s="358">
        <v>1000</v>
      </c>
      <c r="S54" s="136">
        <v>-4483.8</v>
      </c>
      <c r="T54" s="357">
        <v>-4483.8</v>
      </c>
      <c r="U54" s="357">
        <v>-4483.8</v>
      </c>
      <c r="V54" s="358">
        <v>-4484</v>
      </c>
      <c r="W54" s="136">
        <v>0</v>
      </c>
      <c r="X54" s="357">
        <v>-886.7</v>
      </c>
      <c r="Y54" s="357">
        <v>-886.7</v>
      </c>
      <c r="Z54" s="358">
        <v>-886.7</v>
      </c>
      <c r="AA54" s="357">
        <v>0</v>
      </c>
      <c r="AB54" s="357">
        <v>0</v>
      </c>
      <c r="AC54" s="357">
        <v>0</v>
      </c>
      <c r="AD54" s="358">
        <v>0</v>
      </c>
      <c r="AE54" s="357">
        <v>0</v>
      </c>
      <c r="AF54" s="366" t="s">
        <v>361</v>
      </c>
      <c r="AG54" s="366" t="s">
        <v>361</v>
      </c>
      <c r="AH54" s="317" t="s">
        <v>361</v>
      </c>
      <c r="AI54" s="136">
        <v>0</v>
      </c>
      <c r="AJ54" s="366" t="s">
        <v>361</v>
      </c>
      <c r="AK54" s="366" t="s">
        <v>361</v>
      </c>
      <c r="AL54" s="317" t="s">
        <v>361</v>
      </c>
      <c r="AM54" s="136">
        <v>1000</v>
      </c>
      <c r="AN54" s="357">
        <v>1000</v>
      </c>
      <c r="AO54" s="357">
        <v>1000</v>
      </c>
      <c r="AP54" s="82">
        <v>1000</v>
      </c>
      <c r="AQ54" s="136">
        <v>0</v>
      </c>
      <c r="AR54" s="357">
        <v>0</v>
      </c>
      <c r="AS54" s="357"/>
      <c r="AT54" s="82"/>
    </row>
    <row r="55" spans="1:46" s="74" customFormat="1" ht="20.100000000000001" customHeight="1">
      <c r="A55" s="90" t="s">
        <v>362</v>
      </c>
      <c r="B55" s="283" t="s">
        <v>363</v>
      </c>
      <c r="C55" s="85"/>
      <c r="D55" s="85"/>
      <c r="E55" s="85"/>
      <c r="F55" s="86"/>
      <c r="G55" s="87"/>
      <c r="H55" s="85"/>
      <c r="I55" s="85"/>
      <c r="J55" s="86"/>
      <c r="K55" s="89"/>
      <c r="L55" s="84"/>
      <c r="M55" s="84"/>
      <c r="N55" s="84"/>
      <c r="O55" s="83"/>
      <c r="P55" s="115"/>
      <c r="Q55" s="115"/>
      <c r="R55" s="82"/>
      <c r="S55" s="83">
        <v>-262.10000000000002</v>
      </c>
      <c r="T55" s="115">
        <v>-262.10000000000002</v>
      </c>
      <c r="U55" s="115">
        <v>-262.10000000000002</v>
      </c>
      <c r="V55" s="82">
        <v>-262.10000000000002</v>
      </c>
      <c r="W55" s="83">
        <v>0</v>
      </c>
      <c r="X55" s="115">
        <v>-58.7</v>
      </c>
      <c r="Y55" s="115">
        <v>-58.7</v>
      </c>
      <c r="Z55" s="82">
        <v>-58.7</v>
      </c>
      <c r="AA55" s="115">
        <v>0</v>
      </c>
      <c r="AB55" s="115">
        <v>0</v>
      </c>
      <c r="AC55" s="115">
        <v>0</v>
      </c>
      <c r="AD55" s="82">
        <v>0</v>
      </c>
      <c r="AE55" s="115">
        <v>0</v>
      </c>
      <c r="AF55" s="115">
        <v>0</v>
      </c>
      <c r="AG55" s="115">
        <v>0</v>
      </c>
      <c r="AH55" s="82">
        <v>0</v>
      </c>
      <c r="AI55" s="83">
        <v>0</v>
      </c>
      <c r="AJ55" s="115">
        <v>0</v>
      </c>
      <c r="AK55" s="115">
        <v>0</v>
      </c>
      <c r="AL55" s="82">
        <v>0</v>
      </c>
      <c r="AM55" s="83">
        <v>0</v>
      </c>
      <c r="AN55" s="115">
        <v>0</v>
      </c>
      <c r="AO55" s="115">
        <v>0</v>
      </c>
      <c r="AP55" s="82">
        <v>0</v>
      </c>
      <c r="AQ55" s="83">
        <v>0</v>
      </c>
      <c r="AR55" s="115">
        <v>0</v>
      </c>
      <c r="AS55" s="115"/>
      <c r="AT55" s="82"/>
    </row>
    <row r="56" spans="1:46" s="74" customFormat="1" ht="20.100000000000001" customHeight="1">
      <c r="A56" s="90" t="s">
        <v>364</v>
      </c>
      <c r="B56" s="283" t="s">
        <v>365</v>
      </c>
      <c r="C56" s="85"/>
      <c r="D56" s="85"/>
      <c r="E56" s="85"/>
      <c r="F56" s="86"/>
      <c r="G56" s="87"/>
      <c r="H56" s="85"/>
      <c r="I56" s="85"/>
      <c r="J56" s="86"/>
      <c r="K56" s="89"/>
      <c r="L56" s="84"/>
      <c r="M56" s="84"/>
      <c r="N56" s="84"/>
      <c r="O56" s="83"/>
      <c r="P56" s="115"/>
      <c r="Q56" s="115"/>
      <c r="R56" s="82"/>
      <c r="S56" s="83">
        <v>175.4</v>
      </c>
      <c r="T56" s="115">
        <v>175.4</v>
      </c>
      <c r="U56" s="115">
        <v>175.4</v>
      </c>
      <c r="V56" s="82">
        <v>175.4</v>
      </c>
      <c r="W56" s="83">
        <v>0</v>
      </c>
      <c r="X56" s="115">
        <v>0</v>
      </c>
      <c r="Y56" s="115">
        <v>0</v>
      </c>
      <c r="Z56" s="82">
        <v>0</v>
      </c>
      <c r="AA56" s="115">
        <v>0</v>
      </c>
      <c r="AB56" s="115">
        <v>0</v>
      </c>
      <c r="AC56" s="115">
        <v>0</v>
      </c>
      <c r="AD56" s="82">
        <v>0</v>
      </c>
      <c r="AE56" s="115">
        <v>0</v>
      </c>
      <c r="AF56" s="115">
        <v>0</v>
      </c>
      <c r="AG56" s="115">
        <v>0</v>
      </c>
      <c r="AH56" s="82">
        <v>0</v>
      </c>
      <c r="AI56" s="83">
        <v>0</v>
      </c>
      <c r="AJ56" s="115">
        <v>0</v>
      </c>
      <c r="AK56" s="115">
        <v>0</v>
      </c>
      <c r="AL56" s="82">
        <v>0</v>
      </c>
      <c r="AM56" s="83">
        <v>0</v>
      </c>
      <c r="AN56" s="115">
        <v>0</v>
      </c>
      <c r="AO56" s="115">
        <v>0</v>
      </c>
      <c r="AP56" s="82">
        <v>0</v>
      </c>
      <c r="AQ56" s="83">
        <v>0</v>
      </c>
      <c r="AR56" s="115">
        <v>0</v>
      </c>
      <c r="AS56" s="115"/>
      <c r="AT56" s="82"/>
    </row>
    <row r="57" spans="1:46" s="361" customFormat="1" ht="27.75">
      <c r="A57" s="284" t="s">
        <v>366</v>
      </c>
      <c r="B57" s="285" t="s">
        <v>367</v>
      </c>
      <c r="C57" s="357">
        <v>-26.132999999999999</v>
      </c>
      <c r="D57" s="357">
        <f>(-103258-821)*0.001</f>
        <v>-104.07900000000001</v>
      </c>
      <c r="E57" s="357">
        <f>(-125824-2250)*0.001</f>
        <v>-128.07400000000001</v>
      </c>
      <c r="F57" s="358">
        <f>(-195934-3683)*0.001</f>
        <v>-199.61699999999999</v>
      </c>
      <c r="G57" s="136">
        <f>(-15811-1035)*0.001</f>
        <v>-16.846</v>
      </c>
      <c r="H57" s="357">
        <f>(-84439-1241)*0.001</f>
        <v>-85.68</v>
      </c>
      <c r="I57" s="357">
        <f>(-96215-1689)*0.001</f>
        <v>-97.903999999999996</v>
      </c>
      <c r="J57" s="358">
        <v>-165.017</v>
      </c>
      <c r="K57" s="360">
        <v>-9.0950000000000006</v>
      </c>
      <c r="L57" s="360">
        <v>-348.3</v>
      </c>
      <c r="M57" s="360">
        <v>-733.5</v>
      </c>
      <c r="N57" s="360">
        <v>-872.2</v>
      </c>
      <c r="O57" s="136">
        <v>-357.9</v>
      </c>
      <c r="P57" s="357">
        <v>-472.3</v>
      </c>
      <c r="Q57" s="357">
        <v>-804.1</v>
      </c>
      <c r="R57" s="358">
        <v>-978.9</v>
      </c>
      <c r="S57" s="136">
        <v>-383.2</v>
      </c>
      <c r="T57" s="357">
        <v>-507.9</v>
      </c>
      <c r="U57" s="357">
        <v>-631.70000000000005</v>
      </c>
      <c r="V57" s="358">
        <v>-729.6</v>
      </c>
      <c r="W57" s="136">
        <v>-112.5</v>
      </c>
      <c r="X57" s="357">
        <v>-206</v>
      </c>
      <c r="Y57" s="357">
        <v>-319.60000000000002</v>
      </c>
      <c r="Z57" s="358">
        <v>-409.9</v>
      </c>
      <c r="AA57" s="357">
        <v>-138</v>
      </c>
      <c r="AB57" s="357">
        <v>-230.9</v>
      </c>
      <c r="AC57" s="357">
        <v>-342.8</v>
      </c>
      <c r="AD57" s="358">
        <v>-419</v>
      </c>
      <c r="AE57" s="357">
        <v>-107.1</v>
      </c>
      <c r="AF57" s="357">
        <v>-205.5</v>
      </c>
      <c r="AG57" s="357">
        <v>-362</v>
      </c>
      <c r="AH57" s="358">
        <v>-465.4</v>
      </c>
      <c r="AI57" s="136">
        <v>-107.1</v>
      </c>
      <c r="AJ57" s="357">
        <v>-205.5</v>
      </c>
      <c r="AK57" s="357">
        <v>-362</v>
      </c>
      <c r="AL57" s="358">
        <v>-465.4</v>
      </c>
      <c r="AM57" s="136">
        <v>-84.6</v>
      </c>
      <c r="AN57" s="357">
        <f>-193.4</f>
        <v>-193.4</v>
      </c>
      <c r="AO57" s="357">
        <v>-256.2</v>
      </c>
      <c r="AP57" s="358">
        <v>-315.3</v>
      </c>
      <c r="AQ57" s="136">
        <v>-54.8</v>
      </c>
      <c r="AR57" s="357">
        <v>-111.3</v>
      </c>
      <c r="AS57" s="357"/>
      <c r="AT57" s="358"/>
    </row>
    <row r="58" spans="1:46" s="74" customFormat="1" ht="20.100000000000001" customHeight="1">
      <c r="A58" s="90" t="s">
        <v>368</v>
      </c>
      <c r="B58" s="283" t="s">
        <v>369</v>
      </c>
      <c r="C58" s="115"/>
      <c r="D58" s="115"/>
      <c r="E58" s="115"/>
      <c r="F58" s="82"/>
      <c r="G58" s="83"/>
      <c r="H58" s="115"/>
      <c r="I58" s="115"/>
      <c r="J58" s="82"/>
      <c r="K58" s="84"/>
      <c r="L58" s="84"/>
      <c r="M58" s="84"/>
      <c r="N58" s="84"/>
      <c r="O58" s="83"/>
      <c r="P58" s="115"/>
      <c r="Q58" s="115"/>
      <c r="R58" s="82"/>
      <c r="S58" s="83"/>
      <c r="T58" s="115"/>
      <c r="U58" s="115"/>
      <c r="V58" s="82"/>
      <c r="W58" s="83"/>
      <c r="X58" s="115"/>
      <c r="Y58" s="115"/>
      <c r="Z58" s="82"/>
      <c r="AA58" s="115"/>
      <c r="AB58" s="115"/>
      <c r="AC58" s="115"/>
      <c r="AD58" s="82"/>
      <c r="AE58" s="115">
        <v>-0.2</v>
      </c>
      <c r="AF58" s="115">
        <v>-0.4</v>
      </c>
      <c r="AG58" s="115">
        <v>-0.6</v>
      </c>
      <c r="AH58" s="82">
        <v>-0.8</v>
      </c>
      <c r="AI58" s="83">
        <v>-7.8</v>
      </c>
      <c r="AJ58" s="115">
        <v>-18.8</v>
      </c>
      <c r="AK58" s="115">
        <v>-28.6</v>
      </c>
      <c r="AL58" s="82">
        <v>-47.6</v>
      </c>
      <c r="AM58" s="83">
        <v>-12.4</v>
      </c>
      <c r="AN58" s="115">
        <v>-21.1</v>
      </c>
      <c r="AO58" s="115">
        <v>-35.1</v>
      </c>
      <c r="AP58" s="82">
        <v>-46</v>
      </c>
      <c r="AQ58" s="83">
        <v>-11.4</v>
      </c>
      <c r="AR58" s="115">
        <v>-21</v>
      </c>
      <c r="AS58" s="115"/>
      <c r="AT58" s="82"/>
    </row>
    <row r="59" spans="1:46" s="74" customFormat="1" ht="20.100000000000001" customHeight="1">
      <c r="A59" s="90" t="s">
        <v>370</v>
      </c>
      <c r="B59" s="283" t="s">
        <v>371</v>
      </c>
      <c r="C59" s="115"/>
      <c r="D59" s="115"/>
      <c r="E59" s="115"/>
      <c r="F59" s="82"/>
      <c r="G59" s="83"/>
      <c r="H59" s="115"/>
      <c r="I59" s="115"/>
      <c r="J59" s="82"/>
      <c r="K59" s="84"/>
      <c r="L59" s="84"/>
      <c r="M59" s="84"/>
      <c r="N59" s="84"/>
      <c r="O59" s="83"/>
      <c r="P59" s="115"/>
      <c r="Q59" s="115"/>
      <c r="R59" s="82"/>
      <c r="S59" s="83"/>
      <c r="T59" s="115"/>
      <c r="U59" s="115"/>
      <c r="V59" s="82"/>
      <c r="W59" s="83"/>
      <c r="X59" s="115"/>
      <c r="Y59" s="115"/>
      <c r="Z59" s="82"/>
      <c r="AA59" s="115"/>
      <c r="AB59" s="115"/>
      <c r="AC59" s="115"/>
      <c r="AD59" s="82"/>
      <c r="AE59" s="115">
        <v>-3.1</v>
      </c>
      <c r="AF59" s="115">
        <v>-6.1</v>
      </c>
      <c r="AG59" s="115">
        <v>-8.9</v>
      </c>
      <c r="AH59" s="82">
        <v>-4.4000000000000004</v>
      </c>
      <c r="AI59" s="83">
        <v>-54.5</v>
      </c>
      <c r="AJ59" s="115">
        <v>-142.69999999999999</v>
      </c>
      <c r="AK59" s="115">
        <v>-234</v>
      </c>
      <c r="AL59" s="82">
        <v>-343.7</v>
      </c>
      <c r="AM59" s="83">
        <v>-106.3</v>
      </c>
      <c r="AN59" s="115">
        <v>-185.7</v>
      </c>
      <c r="AO59" s="115">
        <v>-304.39999999999998</v>
      </c>
      <c r="AP59" s="82">
        <v>-399.2</v>
      </c>
      <c r="AQ59" s="83">
        <v>-119</v>
      </c>
      <c r="AR59" s="115">
        <v>-222</v>
      </c>
      <c r="AS59" s="115"/>
      <c r="AT59" s="82"/>
    </row>
    <row r="60" spans="1:46" s="74" customFormat="1" ht="20.100000000000001" customHeight="1">
      <c r="A60" s="90" t="s">
        <v>508</v>
      </c>
      <c r="B60" s="283" t="s">
        <v>372</v>
      </c>
      <c r="C60" s="85">
        <v>0</v>
      </c>
      <c r="D60" s="85">
        <v>0</v>
      </c>
      <c r="E60" s="85">
        <v>0</v>
      </c>
      <c r="F60" s="86">
        <v>0</v>
      </c>
      <c r="G60" s="87">
        <v>0</v>
      </c>
      <c r="H60" s="85">
        <v>0</v>
      </c>
      <c r="I60" s="85">
        <v>0</v>
      </c>
      <c r="J60" s="86">
        <v>0</v>
      </c>
      <c r="K60" s="89">
        <v>0</v>
      </c>
      <c r="L60" s="84">
        <v>-102.9</v>
      </c>
      <c r="M60" s="84">
        <v>-102.9</v>
      </c>
      <c r="N60" s="84">
        <v>-102.9</v>
      </c>
      <c r="O60" s="83">
        <v>0</v>
      </c>
      <c r="P60" s="115">
        <v>0</v>
      </c>
      <c r="Q60" s="115">
        <v>0</v>
      </c>
      <c r="R60" s="82">
        <v>0</v>
      </c>
      <c r="S60" s="83">
        <v>0</v>
      </c>
      <c r="T60" s="115">
        <v>0</v>
      </c>
      <c r="U60" s="115">
        <v>0</v>
      </c>
      <c r="V60" s="82">
        <v>0</v>
      </c>
      <c r="W60" s="83">
        <v>0</v>
      </c>
      <c r="X60" s="115">
        <v>0</v>
      </c>
      <c r="Y60" s="115">
        <v>-204.7</v>
      </c>
      <c r="Z60" s="82">
        <v>-204.7</v>
      </c>
      <c r="AA60" s="115">
        <v>0</v>
      </c>
      <c r="AB60" s="115">
        <v>0</v>
      </c>
      <c r="AC60" s="115">
        <v>0</v>
      </c>
      <c r="AD60" s="82">
        <v>0</v>
      </c>
      <c r="AE60" s="115">
        <v>0</v>
      </c>
      <c r="AF60" s="115">
        <v>0</v>
      </c>
      <c r="AG60" s="115">
        <v>-287.8</v>
      </c>
      <c r="AH60" s="82">
        <v>-594.79999999999995</v>
      </c>
      <c r="AI60" s="83">
        <v>0</v>
      </c>
      <c r="AJ60" s="115">
        <v>0</v>
      </c>
      <c r="AK60" s="115">
        <v>-287.8</v>
      </c>
      <c r="AL60" s="82">
        <v>-594.79999999999995</v>
      </c>
      <c r="AM60" s="83">
        <v>0</v>
      </c>
      <c r="AN60" s="115">
        <v>-7.4</v>
      </c>
      <c r="AO60" s="115">
        <v>-7.4</v>
      </c>
      <c r="AP60" s="82">
        <v>-232.5</v>
      </c>
      <c r="AQ60" s="83">
        <v>-415.7</v>
      </c>
      <c r="AR60" s="115">
        <v>-415.7</v>
      </c>
      <c r="AS60" s="115"/>
      <c r="AT60" s="82"/>
    </row>
    <row r="61" spans="1:46" s="74" customFormat="1" ht="20.100000000000001" customHeight="1">
      <c r="A61" s="90" t="s">
        <v>373</v>
      </c>
      <c r="B61" s="283" t="s">
        <v>374</v>
      </c>
      <c r="C61" s="85"/>
      <c r="D61" s="85"/>
      <c r="E61" s="85"/>
      <c r="F61" s="86"/>
      <c r="G61" s="87"/>
      <c r="H61" s="85"/>
      <c r="I61" s="85"/>
      <c r="J61" s="86"/>
      <c r="K61" s="89"/>
      <c r="L61" s="84"/>
      <c r="M61" s="84"/>
      <c r="N61" s="84"/>
      <c r="O61" s="83"/>
      <c r="P61" s="115"/>
      <c r="Q61" s="115"/>
      <c r="R61" s="82"/>
      <c r="S61" s="83"/>
      <c r="T61" s="115">
        <v>-323.60000000000002</v>
      </c>
      <c r="U61" s="115">
        <v>-323.60000000000002</v>
      </c>
      <c r="V61" s="82">
        <v>-323.60000000000002</v>
      </c>
      <c r="W61" s="83">
        <v>0</v>
      </c>
      <c r="X61" s="115">
        <v>0</v>
      </c>
      <c r="Y61" s="115">
        <v>0</v>
      </c>
      <c r="Z61" s="82">
        <v>0</v>
      </c>
      <c r="AA61" s="115">
        <v>0</v>
      </c>
      <c r="AB61" s="115">
        <v>0</v>
      </c>
      <c r="AC61" s="115">
        <v>0</v>
      </c>
      <c r="AD61" s="82">
        <v>0</v>
      </c>
      <c r="AE61" s="115">
        <v>0</v>
      </c>
      <c r="AF61" s="115">
        <v>0</v>
      </c>
      <c r="AG61" s="115">
        <v>0</v>
      </c>
      <c r="AH61" s="82">
        <v>0</v>
      </c>
      <c r="AI61" s="83">
        <v>0</v>
      </c>
      <c r="AJ61" s="115">
        <v>0</v>
      </c>
      <c r="AK61" s="115">
        <v>0</v>
      </c>
      <c r="AL61" s="82">
        <v>0</v>
      </c>
      <c r="AM61" s="83">
        <v>0</v>
      </c>
      <c r="AN61" s="115">
        <v>0</v>
      </c>
      <c r="AO61" s="115">
        <v>0</v>
      </c>
      <c r="AP61" s="82">
        <v>0</v>
      </c>
      <c r="AQ61" s="83">
        <v>0</v>
      </c>
      <c r="AR61" s="115">
        <v>0</v>
      </c>
      <c r="AS61" s="115"/>
      <c r="AT61" s="82"/>
    </row>
    <row r="62" spans="1:46" s="74" customFormat="1" ht="20.100000000000001" customHeight="1">
      <c r="A62" s="90" t="s">
        <v>375</v>
      </c>
      <c r="B62" s="283" t="s">
        <v>376</v>
      </c>
      <c r="C62" s="115">
        <v>-8.4000000000000005E-2</v>
      </c>
      <c r="D62" s="115">
        <v>-0.23899999999999999</v>
      </c>
      <c r="E62" s="115">
        <v>-0.315</v>
      </c>
      <c r="F62" s="82">
        <v>-0.40600000000000003</v>
      </c>
      <c r="G62" s="83">
        <v>-7.8E-2</v>
      </c>
      <c r="H62" s="115">
        <v>-0.16800000000000001</v>
      </c>
      <c r="I62" s="115">
        <v>-0.25600000000000001</v>
      </c>
      <c r="J62" s="82">
        <v>-0.33</v>
      </c>
      <c r="K62" s="84">
        <v>-6.2E-2</v>
      </c>
      <c r="L62" s="84">
        <v>-0.3</v>
      </c>
      <c r="M62" s="84">
        <v>-0.7</v>
      </c>
      <c r="N62" s="84">
        <v>-0.9</v>
      </c>
      <c r="O62" s="83">
        <v>-2.5</v>
      </c>
      <c r="P62" s="115">
        <v>-3.5</v>
      </c>
      <c r="Q62" s="115">
        <v>-4.5</v>
      </c>
      <c r="R62" s="82">
        <v>-5.6</v>
      </c>
      <c r="S62" s="83">
        <v>-2.1</v>
      </c>
      <c r="T62" s="115">
        <v>-2.7</v>
      </c>
      <c r="U62" s="115">
        <v>-4.4000000000000004</v>
      </c>
      <c r="V62" s="82">
        <v>-6</v>
      </c>
      <c r="W62" s="83">
        <f>-0.3-1.4</f>
        <v>-1.7</v>
      </c>
      <c r="X62" s="115">
        <v>-2.9</v>
      </c>
      <c r="Y62" s="115">
        <v>-4.3</v>
      </c>
      <c r="Z62" s="82">
        <v>-5.2</v>
      </c>
      <c r="AA62" s="115">
        <v>-1.6</v>
      </c>
      <c r="AB62" s="115">
        <v>-3.4</v>
      </c>
      <c r="AC62" s="115">
        <v>-4.8</v>
      </c>
      <c r="AD62" s="82">
        <v>-8.4</v>
      </c>
      <c r="AE62" s="115">
        <v>-0.6</v>
      </c>
      <c r="AF62" s="115">
        <v>-0.4</v>
      </c>
      <c r="AG62" s="115">
        <v>-0.6</v>
      </c>
      <c r="AH62" s="82">
        <v>-0.7</v>
      </c>
      <c r="AI62" s="83">
        <v>-0.6</v>
      </c>
      <c r="AJ62" s="115">
        <v>-0.4</v>
      </c>
      <c r="AK62" s="115">
        <v>-0.6</v>
      </c>
      <c r="AL62" s="82">
        <v>-0.7</v>
      </c>
      <c r="AM62" s="83">
        <v>-4.5</v>
      </c>
      <c r="AN62" s="115">
        <v>-12.7</v>
      </c>
      <c r="AO62" s="115">
        <v>-27.3</v>
      </c>
      <c r="AP62" s="82">
        <v>-40.1</v>
      </c>
      <c r="AQ62" s="83">
        <v>-11.1</v>
      </c>
      <c r="AR62" s="115">
        <v>-19.3</v>
      </c>
      <c r="AS62" s="115"/>
      <c r="AT62" s="82"/>
    </row>
    <row r="63" spans="1:46" s="74" customFormat="1" ht="20.100000000000001" customHeight="1" thickBot="1">
      <c r="A63" s="90" t="s">
        <v>377</v>
      </c>
      <c r="B63" s="283" t="s">
        <v>378</v>
      </c>
      <c r="C63" s="367">
        <v>0</v>
      </c>
      <c r="D63" s="367">
        <v>0</v>
      </c>
      <c r="E63" s="367">
        <v>0</v>
      </c>
      <c r="F63" s="86">
        <v>0</v>
      </c>
      <c r="G63" s="87">
        <v>0</v>
      </c>
      <c r="H63" s="85">
        <v>0</v>
      </c>
      <c r="I63" s="85">
        <v>0</v>
      </c>
      <c r="J63" s="86">
        <v>0</v>
      </c>
      <c r="K63" s="89">
        <v>0</v>
      </c>
      <c r="L63" s="84">
        <v>-3.8</v>
      </c>
      <c r="M63" s="84">
        <v>-3.9</v>
      </c>
      <c r="N63" s="84">
        <v>-3.9</v>
      </c>
      <c r="O63" s="83">
        <v>0</v>
      </c>
      <c r="P63" s="115">
        <v>0</v>
      </c>
      <c r="Q63" s="115">
        <v>0</v>
      </c>
      <c r="R63" s="82">
        <v>0</v>
      </c>
      <c r="S63" s="83">
        <v>0</v>
      </c>
      <c r="T63" s="115">
        <v>0</v>
      </c>
      <c r="U63" s="115">
        <v>0</v>
      </c>
      <c r="V63" s="82">
        <v>0</v>
      </c>
      <c r="W63" s="83">
        <v>0</v>
      </c>
      <c r="X63" s="115">
        <v>0</v>
      </c>
      <c r="Y63" s="115">
        <v>0</v>
      </c>
      <c r="Z63" s="82">
        <v>0</v>
      </c>
      <c r="AA63" s="115">
        <v>0</v>
      </c>
      <c r="AB63" s="115"/>
      <c r="AC63" s="115">
        <v>0</v>
      </c>
      <c r="AD63" s="82">
        <v>0</v>
      </c>
      <c r="AE63" s="115">
        <v>0</v>
      </c>
      <c r="AF63" s="115">
        <v>0</v>
      </c>
      <c r="AG63" s="115">
        <v>0</v>
      </c>
      <c r="AH63" s="82">
        <v>0</v>
      </c>
      <c r="AI63" s="83">
        <v>0</v>
      </c>
      <c r="AJ63" s="115">
        <v>0</v>
      </c>
      <c r="AK63" s="115">
        <v>0</v>
      </c>
      <c r="AL63" s="82">
        <v>0</v>
      </c>
      <c r="AM63" s="83">
        <v>0</v>
      </c>
      <c r="AN63" s="115">
        <v>0</v>
      </c>
      <c r="AO63" s="115">
        <v>0</v>
      </c>
      <c r="AP63" s="82">
        <v>0</v>
      </c>
      <c r="AQ63" s="83">
        <v>0</v>
      </c>
      <c r="AR63" s="115">
        <v>0</v>
      </c>
      <c r="AS63" s="115"/>
      <c r="AT63" s="82"/>
    </row>
    <row r="64" spans="1:46" s="374" customFormat="1" ht="24.95" customHeight="1" thickBot="1">
      <c r="A64" s="531" t="s">
        <v>379</v>
      </c>
      <c r="B64" s="531" t="s">
        <v>380</v>
      </c>
      <c r="C64" s="532">
        <f t="shared" ref="C64:X64" si="17">SUM(C52:C63)</f>
        <v>-52.972000000000001</v>
      </c>
      <c r="D64" s="533">
        <f t="shared" si="17"/>
        <v>-260.08099999999996</v>
      </c>
      <c r="E64" s="533">
        <f t="shared" si="17"/>
        <v>-525.96400000000006</v>
      </c>
      <c r="F64" s="534">
        <f t="shared" si="17"/>
        <v>-653.34699999999998</v>
      </c>
      <c r="G64" s="532">
        <f t="shared" si="17"/>
        <v>-66.737000000000009</v>
      </c>
      <c r="H64" s="533">
        <f t="shared" si="17"/>
        <v>-278.43799999999999</v>
      </c>
      <c r="I64" s="533">
        <f t="shared" si="17"/>
        <v>-464.322</v>
      </c>
      <c r="J64" s="534">
        <f t="shared" si="17"/>
        <v>-596.46400000000006</v>
      </c>
      <c r="K64" s="532">
        <f t="shared" si="17"/>
        <v>-46.550999999999995</v>
      </c>
      <c r="L64" s="533">
        <f t="shared" si="17"/>
        <v>-478.30000000000007</v>
      </c>
      <c r="M64" s="533">
        <f t="shared" si="17"/>
        <v>-1064.0000000000002</v>
      </c>
      <c r="N64" s="534">
        <f t="shared" si="17"/>
        <v>-1542.9000000000003</v>
      </c>
      <c r="O64" s="532">
        <f t="shared" si="17"/>
        <v>-467.4</v>
      </c>
      <c r="P64" s="533">
        <f t="shared" si="17"/>
        <v>-1310</v>
      </c>
      <c r="Q64" s="533">
        <f t="shared" si="17"/>
        <v>-2210.8000000000006</v>
      </c>
      <c r="R64" s="534">
        <f t="shared" si="17"/>
        <v>-2386.7000000000007</v>
      </c>
      <c r="S64" s="532">
        <f t="shared" si="17"/>
        <v>-371.90000000000055</v>
      </c>
      <c r="T64" s="533">
        <f t="shared" si="17"/>
        <v>-1403.6000000000001</v>
      </c>
      <c r="U64" s="533">
        <f t="shared" si="17"/>
        <v>-1737.1000000000004</v>
      </c>
      <c r="V64" s="534">
        <f t="shared" si="17"/>
        <v>-2070.8000000000002</v>
      </c>
      <c r="W64" s="532">
        <f t="shared" si="17"/>
        <v>-348.2</v>
      </c>
      <c r="X64" s="533">
        <f t="shared" si="17"/>
        <v>-1122.3000000000002</v>
      </c>
      <c r="Y64" s="533">
        <f>SUM(Y52:Y63)</f>
        <v>-1676</v>
      </c>
      <c r="Z64" s="534">
        <f>SUM(Z52:Z63)</f>
        <v>-1527.7000000000003</v>
      </c>
      <c r="AA64" s="532">
        <f t="shared" ref="AA64:AD64" si="18">SUM(AA52:AA63)</f>
        <v>-689.6</v>
      </c>
      <c r="AB64" s="533">
        <f t="shared" si="18"/>
        <v>-868.19999999999993</v>
      </c>
      <c r="AC64" s="533">
        <f t="shared" ref="AC64" si="19">SUM(AC52:AC63)</f>
        <v>-790.09999999999991</v>
      </c>
      <c r="AD64" s="534">
        <f t="shared" si="18"/>
        <v>-1074.3000000000002</v>
      </c>
      <c r="AE64" s="532">
        <f t="shared" ref="AE64:AH64" si="20">SUM(AE52:AE63)</f>
        <v>-695.40000000000009</v>
      </c>
      <c r="AF64" s="533">
        <f t="shared" si="20"/>
        <v>-1064</v>
      </c>
      <c r="AG64" s="533">
        <f>SUM(AG52:AG63)</f>
        <v>-1285.8999999999999</v>
      </c>
      <c r="AH64" s="534">
        <f t="shared" si="20"/>
        <v>-798.6</v>
      </c>
      <c r="AI64" s="532">
        <f t="shared" ref="AI64:AJ64" si="21">SUM(AI52:AI63)</f>
        <v>-754.4</v>
      </c>
      <c r="AJ64" s="533">
        <f t="shared" si="21"/>
        <v>-1219</v>
      </c>
      <c r="AK64" s="533">
        <f>SUM(AK52:AK63)</f>
        <v>-1538.9999999999998</v>
      </c>
      <c r="AL64" s="534">
        <f t="shared" ref="AL64" si="22">SUM(AL52:AL63)</f>
        <v>-1184.7</v>
      </c>
      <c r="AM64" s="532">
        <f t="shared" ref="AM64:AN64" si="23">SUM(AM52:AM63)</f>
        <v>-30.000000000000043</v>
      </c>
      <c r="AN64" s="533">
        <f t="shared" si="23"/>
        <v>-243.19999999999996</v>
      </c>
      <c r="AO64" s="533">
        <v>-453.3</v>
      </c>
      <c r="AP64" s="534">
        <f t="shared" ref="AP64:AR64" si="24">SUM(AP52:AP63)</f>
        <v>-856</v>
      </c>
      <c r="AQ64" s="532">
        <f t="shared" si="24"/>
        <v>-612</v>
      </c>
      <c r="AR64" s="533">
        <f t="shared" si="24"/>
        <v>-879.3</v>
      </c>
      <c r="AS64" s="533">
        <f t="shared" ref="AS64" si="25">SUM(AS52:AS63)</f>
        <v>0</v>
      </c>
      <c r="AT64" s="534">
        <f t="shared" ref="AT64" si="26">SUM(AT52:AT63)</f>
        <v>0</v>
      </c>
    </row>
    <row r="65" spans="1:46" s="74" customFormat="1" ht="20.100000000000001" customHeight="1" thickBot="1">
      <c r="A65" s="535" t="s">
        <v>381</v>
      </c>
      <c r="B65" s="536" t="s">
        <v>382</v>
      </c>
      <c r="C65" s="537">
        <f>C33+C51+C64</f>
        <v>146.86399999999998</v>
      </c>
      <c r="D65" s="537">
        <f t="shared" ref="D65:AN65" si="27">D64+D51+D33</f>
        <v>33.256000000000029</v>
      </c>
      <c r="E65" s="537">
        <f t="shared" si="27"/>
        <v>-51.083999999999946</v>
      </c>
      <c r="F65" s="538">
        <f t="shared" si="27"/>
        <v>-5.4109999999999445</v>
      </c>
      <c r="G65" s="539">
        <f t="shared" si="27"/>
        <v>53.822999999999979</v>
      </c>
      <c r="H65" s="540">
        <f t="shared" si="27"/>
        <v>-5.0790000000000077</v>
      </c>
      <c r="I65" s="540">
        <f t="shared" si="27"/>
        <v>-55.118000000000166</v>
      </c>
      <c r="J65" s="538">
        <f t="shared" si="27"/>
        <v>72.357999999999834</v>
      </c>
      <c r="K65" s="540">
        <f t="shared" si="27"/>
        <v>85.956000000000017</v>
      </c>
      <c r="L65" s="540">
        <f t="shared" si="27"/>
        <v>1565.3999999999999</v>
      </c>
      <c r="M65" s="540">
        <f t="shared" si="27"/>
        <v>1300.0999999999999</v>
      </c>
      <c r="N65" s="540">
        <f t="shared" si="27"/>
        <v>1403.7999999999997</v>
      </c>
      <c r="O65" s="539">
        <f t="shared" si="27"/>
        <v>-257.89999999999981</v>
      </c>
      <c r="P65" s="540">
        <f t="shared" si="27"/>
        <v>-353.30000000000041</v>
      </c>
      <c r="Q65" s="540">
        <f t="shared" si="27"/>
        <v>-677.30000000000109</v>
      </c>
      <c r="R65" s="538">
        <f t="shared" si="27"/>
        <v>-225.60000000000127</v>
      </c>
      <c r="S65" s="539">
        <f t="shared" si="27"/>
        <v>49.999999999999602</v>
      </c>
      <c r="T65" s="540">
        <f t="shared" si="27"/>
        <v>-568.70000000000005</v>
      </c>
      <c r="U65" s="540">
        <f t="shared" si="27"/>
        <v>-411.39999999999918</v>
      </c>
      <c r="V65" s="538">
        <f t="shared" si="27"/>
        <v>-189.5</v>
      </c>
      <c r="W65" s="539">
        <f t="shared" si="27"/>
        <v>244.3000000000003</v>
      </c>
      <c r="X65" s="540">
        <f t="shared" si="27"/>
        <v>29.599999999999909</v>
      </c>
      <c r="Y65" s="540">
        <f t="shared" si="27"/>
        <v>-245.50000000000045</v>
      </c>
      <c r="Z65" s="538">
        <f t="shared" si="27"/>
        <v>-159.59999999999945</v>
      </c>
      <c r="AA65" s="540">
        <f t="shared" si="27"/>
        <v>-374.99999999999989</v>
      </c>
      <c r="AB65" s="540">
        <f t="shared" si="27"/>
        <v>-285.70000000000005</v>
      </c>
      <c r="AC65" s="540">
        <f t="shared" si="27"/>
        <v>-11.199999999999818</v>
      </c>
      <c r="AD65" s="538">
        <f t="shared" si="27"/>
        <v>5.2999999999997272</v>
      </c>
      <c r="AE65" s="540">
        <f t="shared" si="27"/>
        <v>-420.69999999999993</v>
      </c>
      <c r="AF65" s="540">
        <f t="shared" si="27"/>
        <v>-392.89999999999986</v>
      </c>
      <c r="AG65" s="540">
        <f t="shared" si="27"/>
        <v>-294.79999999999927</v>
      </c>
      <c r="AH65" s="538">
        <f t="shared" si="27"/>
        <v>-426.40000000000055</v>
      </c>
      <c r="AI65" s="539">
        <f t="shared" si="27"/>
        <v>-420.69999999999993</v>
      </c>
      <c r="AJ65" s="540">
        <f t="shared" si="27"/>
        <v>-392.89999999999986</v>
      </c>
      <c r="AK65" s="540">
        <f t="shared" si="27"/>
        <v>-294.79999999999882</v>
      </c>
      <c r="AL65" s="538">
        <f t="shared" si="27"/>
        <v>-426.40000000000146</v>
      </c>
      <c r="AM65" s="539">
        <f t="shared" si="27"/>
        <v>384.78882651999987</v>
      </c>
      <c r="AN65" s="540">
        <f t="shared" si="27"/>
        <v>565.90000000000055</v>
      </c>
      <c r="AO65" s="540">
        <v>408.8</v>
      </c>
      <c r="AP65" s="538">
        <f>AP64+AP51+AP33</f>
        <v>609.39999999999918</v>
      </c>
      <c r="AQ65" s="539">
        <f>AQ64+AQ51+AQ33</f>
        <v>-97.199999999999932</v>
      </c>
      <c r="AR65" s="540">
        <f>AR64+AR51+AR33</f>
        <v>-599.79999999999995</v>
      </c>
      <c r="AS65" s="540">
        <f>AS64+AS51+AS33</f>
        <v>0</v>
      </c>
      <c r="AT65" s="538">
        <f>AT64+AT51+AT33</f>
        <v>0</v>
      </c>
    </row>
    <row r="66" spans="1:46" s="76" customFormat="1" ht="20.100000000000001" customHeight="1">
      <c r="A66" s="368" t="s">
        <v>383</v>
      </c>
      <c r="B66" s="369" t="s">
        <v>384</v>
      </c>
      <c r="C66" s="370">
        <v>277.53399999999999</v>
      </c>
      <c r="D66" s="370">
        <v>277.53399999999999</v>
      </c>
      <c r="E66" s="370">
        <v>277.53399999999999</v>
      </c>
      <c r="F66" s="371">
        <v>277.53399999999999</v>
      </c>
      <c r="G66" s="372">
        <v>270.35399999999998</v>
      </c>
      <c r="H66" s="370">
        <v>270.35399999999998</v>
      </c>
      <c r="I66" s="370">
        <v>270.35399999999998</v>
      </c>
      <c r="J66" s="371">
        <v>270.35399999999998</v>
      </c>
      <c r="K66" s="370">
        <v>342.25100000000003</v>
      </c>
      <c r="L66" s="370">
        <v>342.2</v>
      </c>
      <c r="M66" s="370">
        <v>342.2</v>
      </c>
      <c r="N66" s="370">
        <v>342.2</v>
      </c>
      <c r="O66" s="372">
        <v>1747.9</v>
      </c>
      <c r="P66" s="370">
        <v>1747.9</v>
      </c>
      <c r="Q66" s="370">
        <v>1747.9</v>
      </c>
      <c r="R66" s="371">
        <v>1747.9</v>
      </c>
      <c r="S66" s="372">
        <f>$R$69</f>
        <v>1523.6999999999989</v>
      </c>
      <c r="T66" s="370">
        <f t="shared" ref="T66:V66" si="28">$R$69</f>
        <v>1523.6999999999989</v>
      </c>
      <c r="U66" s="370">
        <f t="shared" si="28"/>
        <v>1523.6999999999989</v>
      </c>
      <c r="V66" s="371">
        <f t="shared" si="28"/>
        <v>1523.6999999999989</v>
      </c>
      <c r="W66" s="372">
        <f>V69</f>
        <v>1336.6999999999989</v>
      </c>
      <c r="X66" s="370">
        <f>V69</f>
        <v>1336.6999999999989</v>
      </c>
      <c r="Y66" s="370">
        <f>V69</f>
        <v>1336.6999999999989</v>
      </c>
      <c r="Z66" s="371">
        <f>Y66</f>
        <v>1336.6999999999989</v>
      </c>
      <c r="AA66" s="370">
        <f>Z69</f>
        <v>1171.9999999999995</v>
      </c>
      <c r="AB66" s="370">
        <f>Z69</f>
        <v>1171.9999999999995</v>
      </c>
      <c r="AC66" s="370">
        <f>Z69</f>
        <v>1171.9999999999995</v>
      </c>
      <c r="AD66" s="371">
        <f>AC66</f>
        <v>1171.9999999999995</v>
      </c>
      <c r="AE66" s="370">
        <v>1178.7</v>
      </c>
      <c r="AF66" s="370">
        <f>AD69</f>
        <v>1178.6999999999994</v>
      </c>
      <c r="AG66" s="370">
        <f>AD69</f>
        <v>1178.6999999999994</v>
      </c>
      <c r="AH66" s="371">
        <f>AD69</f>
        <v>1178.6999999999994</v>
      </c>
      <c r="AI66" s="372">
        <v>1178.7</v>
      </c>
      <c r="AJ66" s="370">
        <f>AD69</f>
        <v>1178.6999999999994</v>
      </c>
      <c r="AK66" s="370">
        <f>AD69</f>
        <v>1178.6999999999994</v>
      </c>
      <c r="AL66" s="371">
        <f>AD69</f>
        <v>1178.6999999999994</v>
      </c>
      <c r="AM66" s="372">
        <f>AL69</f>
        <v>753.09999999999786</v>
      </c>
      <c r="AN66" s="370">
        <v>753.1</v>
      </c>
      <c r="AO66" s="370">
        <v>753.1</v>
      </c>
      <c r="AP66" s="371">
        <v>753.1</v>
      </c>
      <c r="AQ66" s="372">
        <f>$AP$69</f>
        <v>1365.799999999999</v>
      </c>
      <c r="AR66" s="370">
        <v>1365.8</v>
      </c>
      <c r="AS66" s="370"/>
      <c r="AT66" s="371"/>
    </row>
    <row r="67" spans="1:46" s="74" customFormat="1" ht="20.100000000000001" customHeight="1">
      <c r="A67" s="90" t="s">
        <v>385</v>
      </c>
      <c r="B67" s="283" t="s">
        <v>386</v>
      </c>
      <c r="C67" s="115">
        <v>-2.5009999999999999</v>
      </c>
      <c r="D67" s="115">
        <v>-1.2710000000000001</v>
      </c>
      <c r="E67" s="115">
        <v>-1.339</v>
      </c>
      <c r="F67" s="82">
        <v>-1.7690000000000001</v>
      </c>
      <c r="G67" s="83">
        <v>0.161</v>
      </c>
      <c r="H67" s="115">
        <v>0.52800000000000002</v>
      </c>
      <c r="I67" s="115">
        <v>0.16</v>
      </c>
      <c r="J67" s="82">
        <v>-0.46100000000000002</v>
      </c>
      <c r="K67" s="84">
        <v>-1.7000000000000001E-2</v>
      </c>
      <c r="L67" s="84">
        <v>-0.7</v>
      </c>
      <c r="M67" s="84">
        <v>0.9</v>
      </c>
      <c r="N67" s="115">
        <v>1.9</v>
      </c>
      <c r="O67" s="83">
        <v>1.6</v>
      </c>
      <c r="P67" s="115">
        <v>2</v>
      </c>
      <c r="Q67" s="115">
        <v>1.4</v>
      </c>
      <c r="R67" s="82">
        <v>1.4</v>
      </c>
      <c r="S67" s="83">
        <v>-3.7</v>
      </c>
      <c r="T67" s="115">
        <v>0.4</v>
      </c>
      <c r="U67" s="115">
        <v>-2.1</v>
      </c>
      <c r="V67" s="82">
        <v>2.5</v>
      </c>
      <c r="W67" s="83">
        <v>-3.7</v>
      </c>
      <c r="X67" s="115">
        <v>-3.7</v>
      </c>
      <c r="Y67" s="115">
        <v>-2.8</v>
      </c>
      <c r="Z67" s="82">
        <v>-5.0999999999999996</v>
      </c>
      <c r="AA67" s="115">
        <v>0.5</v>
      </c>
      <c r="AB67" s="115">
        <v>1.5</v>
      </c>
      <c r="AC67" s="115">
        <v>2.2999999999999998</v>
      </c>
      <c r="AD67" s="82">
        <v>1.4</v>
      </c>
      <c r="AE67" s="115">
        <v>-1</v>
      </c>
      <c r="AF67" s="115">
        <v>-2</v>
      </c>
      <c r="AG67" s="115">
        <v>2.2999999999999998</v>
      </c>
      <c r="AH67" s="82">
        <v>0.8</v>
      </c>
      <c r="AI67" s="83">
        <v>-1</v>
      </c>
      <c r="AJ67" s="115">
        <v>-2</v>
      </c>
      <c r="AK67" s="115">
        <v>2.2999999999999998</v>
      </c>
      <c r="AL67" s="82">
        <v>0.8</v>
      </c>
      <c r="AM67" s="83">
        <v>2.9</v>
      </c>
      <c r="AN67" s="115">
        <v>1.5</v>
      </c>
      <c r="AO67" s="115">
        <v>2.2999999999999998</v>
      </c>
      <c r="AP67" s="82">
        <v>3.3</v>
      </c>
      <c r="AQ67" s="83">
        <v>-1.3</v>
      </c>
      <c r="AR67" s="115">
        <v>-2</v>
      </c>
      <c r="AS67" s="115"/>
      <c r="AT67" s="82"/>
    </row>
    <row r="68" spans="1:46" s="74" customFormat="1" ht="20.100000000000001" customHeight="1">
      <c r="A68" s="90" t="s">
        <v>387</v>
      </c>
      <c r="B68" s="283" t="s">
        <v>505</v>
      </c>
      <c r="C68" s="115"/>
      <c r="D68" s="115"/>
      <c r="E68" s="115"/>
      <c r="F68" s="82"/>
      <c r="G68" s="83"/>
      <c r="H68" s="115"/>
      <c r="I68" s="115"/>
      <c r="J68" s="82"/>
      <c r="K68" s="84"/>
      <c r="L68" s="84"/>
      <c r="M68" s="84"/>
      <c r="N68" s="115"/>
      <c r="O68" s="83"/>
      <c r="P68" s="115"/>
      <c r="Q68" s="115"/>
      <c r="R68" s="82"/>
      <c r="S68" s="83"/>
      <c r="T68" s="115"/>
      <c r="U68" s="115"/>
      <c r="V68" s="82"/>
      <c r="W68" s="83"/>
      <c r="X68" s="115"/>
      <c r="Y68" s="115"/>
      <c r="Z68" s="82"/>
      <c r="AA68" s="115"/>
      <c r="AB68" s="115"/>
      <c r="AC68" s="115"/>
      <c r="AD68" s="82"/>
      <c r="AE68" s="115"/>
      <c r="AF68" s="115"/>
      <c r="AG68" s="115"/>
      <c r="AH68" s="82"/>
      <c r="AI68" s="83"/>
      <c r="AJ68" s="115"/>
      <c r="AK68" s="115"/>
      <c r="AL68" s="82"/>
      <c r="AM68" s="83"/>
      <c r="AN68" s="115"/>
      <c r="AO68" s="115"/>
      <c r="AP68" s="82"/>
      <c r="AQ68" s="83">
        <v>-108.5</v>
      </c>
      <c r="AR68" s="115">
        <v>-95.5</v>
      </c>
      <c r="AS68" s="115"/>
      <c r="AT68" s="82"/>
    </row>
    <row r="69" spans="1:46" s="374" customFormat="1" ht="24.95" customHeight="1">
      <c r="A69" s="531" t="s">
        <v>388</v>
      </c>
      <c r="B69" s="531" t="s">
        <v>389</v>
      </c>
      <c r="C69" s="532">
        <f>C65+C66+C67</f>
        <v>421.89699999999999</v>
      </c>
      <c r="D69" s="533">
        <f t="shared" ref="D69:R69" si="29">D66+D65+D67</f>
        <v>309.51900000000001</v>
      </c>
      <c r="E69" s="533">
        <f t="shared" si="29"/>
        <v>225.11100000000005</v>
      </c>
      <c r="F69" s="534">
        <f t="shared" si="29"/>
        <v>270.35400000000004</v>
      </c>
      <c r="G69" s="532">
        <f t="shared" si="29"/>
        <v>324.33799999999997</v>
      </c>
      <c r="H69" s="533">
        <f t="shared" si="29"/>
        <v>265.803</v>
      </c>
      <c r="I69" s="533">
        <f t="shared" si="29"/>
        <v>215.39599999999982</v>
      </c>
      <c r="J69" s="534">
        <f t="shared" si="29"/>
        <v>342.25099999999981</v>
      </c>
      <c r="K69" s="532">
        <f t="shared" si="29"/>
        <v>428.19000000000005</v>
      </c>
      <c r="L69" s="533">
        <f t="shared" si="29"/>
        <v>1906.8999999999999</v>
      </c>
      <c r="M69" s="533">
        <f t="shared" si="29"/>
        <v>1643.2</v>
      </c>
      <c r="N69" s="534">
        <f t="shared" si="29"/>
        <v>1747.8999999999999</v>
      </c>
      <c r="O69" s="532">
        <f t="shared" si="29"/>
        <v>1491.6000000000001</v>
      </c>
      <c r="P69" s="533">
        <f t="shared" si="29"/>
        <v>1396.5999999999997</v>
      </c>
      <c r="Q69" s="533">
        <f t="shared" si="29"/>
        <v>1071.9999999999991</v>
      </c>
      <c r="R69" s="534">
        <f t="shared" si="29"/>
        <v>1523.6999999999989</v>
      </c>
      <c r="S69" s="532">
        <f t="shared" ref="S69:Z69" si="30">S66+S65+S67</f>
        <v>1569.9999999999984</v>
      </c>
      <c r="T69" s="533">
        <f t="shared" si="30"/>
        <v>955.39999999999884</v>
      </c>
      <c r="U69" s="533">
        <f t="shared" si="30"/>
        <v>1110.1999999999998</v>
      </c>
      <c r="V69" s="534">
        <f t="shared" si="30"/>
        <v>1336.6999999999989</v>
      </c>
      <c r="W69" s="532">
        <f t="shared" si="30"/>
        <v>1577.299999999999</v>
      </c>
      <c r="X69" s="533">
        <f t="shared" si="30"/>
        <v>1362.5999999999988</v>
      </c>
      <c r="Y69" s="533">
        <f t="shared" si="30"/>
        <v>1088.3999999999985</v>
      </c>
      <c r="Z69" s="534">
        <f t="shared" si="30"/>
        <v>1171.9999999999995</v>
      </c>
      <c r="AA69" s="532">
        <f t="shared" ref="AA69:AD69" si="31">AA66+AA65+AA67</f>
        <v>797.49999999999966</v>
      </c>
      <c r="AB69" s="533">
        <f t="shared" si="31"/>
        <v>887.7999999999995</v>
      </c>
      <c r="AC69" s="533">
        <f t="shared" si="31"/>
        <v>1163.0999999999997</v>
      </c>
      <c r="AD69" s="534">
        <f t="shared" si="31"/>
        <v>1178.6999999999994</v>
      </c>
      <c r="AE69" s="532">
        <f t="shared" ref="AE69:AH69" si="32">AE66+AE65+AE67</f>
        <v>757.00000000000011</v>
      </c>
      <c r="AF69" s="533">
        <f>AF66+AF65+AF67</f>
        <v>783.7999999999995</v>
      </c>
      <c r="AG69" s="533">
        <f t="shared" si="32"/>
        <v>886.2</v>
      </c>
      <c r="AH69" s="534">
        <f t="shared" si="32"/>
        <v>753.09999999999877</v>
      </c>
      <c r="AI69" s="532">
        <f t="shared" ref="AI69" si="33">AI66+AI65+AI67</f>
        <v>757.00000000000011</v>
      </c>
      <c r="AJ69" s="533">
        <f>AJ66+AJ65+AJ67</f>
        <v>783.7999999999995</v>
      </c>
      <c r="AK69" s="533">
        <f t="shared" ref="AK69:AL69" si="34">AK66+AK65+AK67</f>
        <v>886.2000000000005</v>
      </c>
      <c r="AL69" s="534">
        <f t="shared" si="34"/>
        <v>753.09999999999786</v>
      </c>
      <c r="AM69" s="532">
        <f t="shared" ref="AM69" si="35">AM66+AM65+AM67</f>
        <v>1140.7888265199979</v>
      </c>
      <c r="AN69" s="533">
        <f>AN66+AN65+AN67</f>
        <v>1320.5000000000005</v>
      </c>
      <c r="AO69" s="533">
        <f t="shared" ref="AO69:AP69" si="36">AO66+AO65+AO67</f>
        <v>1164.2</v>
      </c>
      <c r="AP69" s="534">
        <f t="shared" si="36"/>
        <v>1365.799999999999</v>
      </c>
      <c r="AQ69" s="532">
        <f>AQ66+AQ65+AQ67+AQ68</f>
        <v>1158.799999999999</v>
      </c>
      <c r="AR69" s="533">
        <f>AR66+AR65+AR67+AR68</f>
        <v>668.5</v>
      </c>
      <c r="AS69" s="533">
        <f t="shared" ref="AS69:AT69" si="37">AS66+AS65+AS67</f>
        <v>0</v>
      </c>
      <c r="AT69" s="534">
        <f t="shared" si="37"/>
        <v>0</v>
      </c>
    </row>
    <row r="70" spans="1:46" s="74" customFormat="1">
      <c r="A70" s="164"/>
      <c r="B70" s="164"/>
      <c r="N70" s="373"/>
    </row>
    <row r="71" spans="1:46" s="8" customFormat="1" ht="45.75" customHeight="1">
      <c r="A71" s="144" t="s">
        <v>390</v>
      </c>
      <c r="B71" s="144" t="s">
        <v>391</v>
      </c>
      <c r="N71" s="32"/>
      <c r="AB71" s="94"/>
    </row>
    <row r="72" spans="1:46" s="8" customFormat="1" ht="20.100000000000001" customHeight="1">
      <c r="A72" s="144" t="s">
        <v>392</v>
      </c>
      <c r="B72" s="144" t="s">
        <v>393</v>
      </c>
      <c r="N72" s="32"/>
      <c r="AB72" s="94"/>
    </row>
    <row r="73" spans="1:46" s="8" customFormat="1" ht="29.25" customHeight="1">
      <c r="A73" s="144" t="s">
        <v>394</v>
      </c>
      <c r="B73" s="144" t="s">
        <v>395</v>
      </c>
      <c r="N73" s="32"/>
      <c r="AB73" s="113"/>
    </row>
    <row r="74" spans="1:46" s="8" customFormat="1" ht="29.25" customHeight="1">
      <c r="A74" s="144" t="s">
        <v>396</v>
      </c>
      <c r="B74" s="144" t="s">
        <v>397</v>
      </c>
      <c r="N74" s="32"/>
      <c r="AB74" s="113"/>
    </row>
    <row r="75" spans="1:46" s="8" customFormat="1" ht="51" customHeight="1">
      <c r="A75" s="144" t="s">
        <v>398</v>
      </c>
      <c r="B75" s="144" t="s">
        <v>399</v>
      </c>
      <c r="N75" s="32"/>
      <c r="AB75" s="113"/>
    </row>
    <row r="76" spans="1:46" s="8" customFormat="1" ht="24" customHeight="1">
      <c r="A76" s="144" t="s">
        <v>400</v>
      </c>
      <c r="B76" s="144" t="s">
        <v>401</v>
      </c>
      <c r="N76" s="32"/>
      <c r="AB76" s="114"/>
    </row>
    <row r="77" spans="1:46" s="8" customFormat="1" ht="60" customHeight="1">
      <c r="A77" s="144" t="s">
        <v>402</v>
      </c>
      <c r="B77" s="144" t="s">
        <v>403</v>
      </c>
      <c r="N77" s="32"/>
      <c r="AB77" s="114"/>
      <c r="AD77" s="8" t="s">
        <v>404</v>
      </c>
    </row>
    <row r="78" spans="1:46" s="8" customFormat="1">
      <c r="A78" s="144"/>
      <c r="B78" s="144"/>
      <c r="N78" s="32"/>
      <c r="AB78" s="113"/>
    </row>
    <row r="79" spans="1:46" s="8" customFormat="1">
      <c r="A79" s="144"/>
      <c r="B79" s="144"/>
      <c r="N79" s="32"/>
      <c r="AB79" s="113"/>
    </row>
    <row r="80" spans="1:46" s="8" customFormat="1">
      <c r="A80" s="144"/>
      <c r="B80" s="144"/>
      <c r="N80" s="32"/>
      <c r="AB80" s="113"/>
    </row>
    <row r="81" spans="1:28" s="8" customFormat="1">
      <c r="A81" s="144"/>
      <c r="B81" s="144"/>
      <c r="N81" s="32"/>
      <c r="AB81" s="113"/>
    </row>
    <row r="82" spans="1:28" s="8" customFormat="1">
      <c r="A82" s="144"/>
      <c r="B82" s="144"/>
      <c r="N82" s="32"/>
      <c r="AB82" s="113"/>
    </row>
    <row r="83" spans="1:28" s="8" customFormat="1">
      <c r="A83" s="144"/>
      <c r="B83" s="144"/>
      <c r="N83" s="32"/>
      <c r="AB83" s="113"/>
    </row>
    <row r="84" spans="1:28" s="8" customFormat="1">
      <c r="A84" s="144"/>
      <c r="B84" s="144"/>
      <c r="N84" s="32"/>
      <c r="AB84" s="113"/>
    </row>
    <row r="85" spans="1:28" s="8" customFormat="1" ht="15">
      <c r="A85" s="144"/>
      <c r="B85" s="144"/>
      <c r="N85" s="32"/>
      <c r="AB85" s="114"/>
    </row>
    <row r="86" spans="1:28" s="8" customFormat="1" ht="15">
      <c r="A86" s="144"/>
      <c r="B86" s="144"/>
      <c r="N86" s="32"/>
      <c r="AB86" s="116"/>
    </row>
    <row r="87" spans="1:28" s="8" customFormat="1">
      <c r="A87" s="144"/>
      <c r="B87" s="144"/>
      <c r="N87" s="32"/>
      <c r="AB87" s="113"/>
    </row>
    <row r="88" spans="1:28" s="8" customFormat="1">
      <c r="A88" s="144"/>
      <c r="B88" s="144"/>
      <c r="N88" s="32"/>
      <c r="AB88" s="113"/>
    </row>
    <row r="89" spans="1:28" s="8" customFormat="1">
      <c r="A89" s="144"/>
      <c r="B89" s="144"/>
      <c r="N89" s="32"/>
      <c r="AB89" s="113"/>
    </row>
    <row r="90" spans="1:28" s="8" customFormat="1">
      <c r="A90" s="144"/>
      <c r="B90" s="144"/>
      <c r="N90" s="32"/>
      <c r="AB90" s="113"/>
    </row>
    <row r="91" spans="1:28" s="8" customFormat="1">
      <c r="A91" s="144"/>
      <c r="B91" s="144"/>
      <c r="N91" s="32"/>
      <c r="AB91" s="113"/>
    </row>
    <row r="92" spans="1:28" s="8" customFormat="1">
      <c r="A92" s="144"/>
      <c r="B92" s="144"/>
      <c r="N92" s="32"/>
      <c r="AB92" s="113"/>
    </row>
    <row r="93" spans="1:28" s="8" customFormat="1">
      <c r="A93" s="144"/>
      <c r="B93" s="144"/>
      <c r="N93" s="32"/>
      <c r="AB93" s="113"/>
    </row>
    <row r="94" spans="1:28" s="8" customFormat="1">
      <c r="A94" s="144"/>
      <c r="B94" s="144"/>
      <c r="N94" s="32"/>
      <c r="AB94" s="115"/>
    </row>
    <row r="95" spans="1:28" s="8" customFormat="1">
      <c r="A95" s="144"/>
      <c r="B95" s="144"/>
      <c r="N95" s="32"/>
      <c r="AB95" s="117"/>
    </row>
    <row r="96" spans="1:28" s="8" customFormat="1">
      <c r="A96" s="144"/>
      <c r="B96" s="144"/>
      <c r="N96" s="32"/>
      <c r="AB96" s="115"/>
    </row>
    <row r="97" spans="1:28" s="8" customFormat="1">
      <c r="A97" s="144"/>
      <c r="B97" s="144"/>
      <c r="N97" s="32"/>
      <c r="AB97" s="115"/>
    </row>
    <row r="98" spans="1:28" s="8" customFormat="1">
      <c r="A98" s="144"/>
      <c r="B98" s="144"/>
      <c r="N98" s="32"/>
      <c r="AB98" s="117"/>
    </row>
    <row r="99" spans="1:28" s="8" customFormat="1">
      <c r="A99" s="144"/>
      <c r="B99" s="144"/>
      <c r="N99" s="32"/>
      <c r="AB99" s="115"/>
    </row>
    <row r="100" spans="1:28" s="8" customFormat="1">
      <c r="A100" s="144"/>
      <c r="B100" s="144"/>
      <c r="N100" s="32"/>
      <c r="AB100" s="115"/>
    </row>
    <row r="101" spans="1:28" s="8" customFormat="1">
      <c r="A101" s="144"/>
      <c r="B101" s="144"/>
      <c r="N101" s="32"/>
      <c r="AB101" s="115"/>
    </row>
    <row r="102" spans="1:28" s="8" customFormat="1">
      <c r="A102" s="144"/>
      <c r="B102" s="144"/>
      <c r="N102" s="32"/>
      <c r="AB102" s="115"/>
    </row>
    <row r="103" spans="1:28" s="8" customFormat="1">
      <c r="A103" s="144"/>
      <c r="B103" s="144"/>
      <c r="N103" s="32"/>
      <c r="AB103" s="115"/>
    </row>
    <row r="104" spans="1:28" s="8" customFormat="1">
      <c r="A104" s="144"/>
      <c r="B104" s="144"/>
      <c r="N104" s="32"/>
      <c r="AB104" s="115"/>
    </row>
    <row r="105" spans="1:28" s="8" customFormat="1">
      <c r="A105" s="144"/>
      <c r="B105" s="144"/>
      <c r="N105" s="32"/>
      <c r="AB105" s="115"/>
    </row>
    <row r="106" spans="1:28" s="8" customFormat="1">
      <c r="A106" s="144"/>
      <c r="B106" s="144"/>
      <c r="N106" s="32"/>
      <c r="AB106" s="115"/>
    </row>
    <row r="107" spans="1:28" s="8" customFormat="1">
      <c r="A107" s="144"/>
      <c r="B107" s="144"/>
      <c r="N107" s="32"/>
      <c r="AB107" s="115"/>
    </row>
    <row r="108" spans="1:28" s="8" customFormat="1">
      <c r="A108" s="144"/>
      <c r="B108" s="144"/>
      <c r="N108" s="32"/>
      <c r="AB108" s="115"/>
    </row>
    <row r="109" spans="1:28" s="8" customFormat="1">
      <c r="A109" s="144"/>
      <c r="B109" s="144"/>
      <c r="AB109" s="115"/>
    </row>
    <row r="110" spans="1:28" s="8" customFormat="1">
      <c r="A110" s="144"/>
      <c r="B110" s="144"/>
      <c r="AB110" s="115"/>
    </row>
    <row r="111" spans="1:28" s="8" customFormat="1" ht="15">
      <c r="A111" s="144"/>
      <c r="B111" s="144"/>
      <c r="AB111" s="116"/>
    </row>
    <row r="112" spans="1:28" s="8" customFormat="1">
      <c r="A112" s="144"/>
      <c r="B112" s="144"/>
      <c r="AB112" s="115"/>
    </row>
    <row r="113" spans="1:28" s="8" customFormat="1">
      <c r="A113" s="144"/>
      <c r="B113" s="144"/>
      <c r="AB113" s="115"/>
    </row>
    <row r="114" spans="1:28" s="8" customFormat="1">
      <c r="A114" s="144"/>
      <c r="B114" s="144"/>
      <c r="AB114" s="117"/>
    </row>
    <row r="115" spans="1:28" s="8" customFormat="1">
      <c r="A115" s="144"/>
      <c r="B115" s="144"/>
      <c r="AB115" s="115"/>
    </row>
    <row r="116" spans="1:28" s="8" customFormat="1">
      <c r="A116" s="144"/>
      <c r="B116" s="144"/>
      <c r="AB116" s="115"/>
    </row>
    <row r="117" spans="1:28" s="8" customFormat="1">
      <c r="A117" s="144"/>
      <c r="B117" s="144"/>
      <c r="AB117" s="115"/>
    </row>
    <row r="118" spans="1:28" s="8" customFormat="1">
      <c r="A118" s="144"/>
      <c r="B118" s="144"/>
      <c r="AB118" s="115"/>
    </row>
    <row r="119" spans="1:28" s="8" customFormat="1">
      <c r="A119" s="144"/>
      <c r="B119" s="144"/>
      <c r="AB119" s="115"/>
    </row>
    <row r="120" spans="1:28" s="8" customFormat="1">
      <c r="A120" s="144"/>
      <c r="B120" s="144"/>
      <c r="AB120" s="115"/>
    </row>
    <row r="121" spans="1:28" s="8" customFormat="1">
      <c r="A121" s="144"/>
      <c r="B121" s="144"/>
      <c r="AB121" s="115"/>
    </row>
    <row r="122" spans="1:28" s="8" customFormat="1">
      <c r="A122" s="144"/>
      <c r="B122" s="144"/>
      <c r="AB122" s="115"/>
    </row>
    <row r="123" spans="1:28" s="8" customFormat="1">
      <c r="A123" s="144"/>
      <c r="B123" s="144"/>
      <c r="AB123" s="115"/>
    </row>
    <row r="124" spans="1:28" s="8" customFormat="1">
      <c r="A124" s="144"/>
      <c r="B124" s="144"/>
      <c r="AB124" s="115"/>
    </row>
    <row r="125" spans="1:28" s="8" customFormat="1">
      <c r="A125" s="144"/>
      <c r="B125" s="144"/>
      <c r="AB125" s="117"/>
    </row>
    <row r="126" spans="1:28" s="8" customFormat="1">
      <c r="A126" s="144"/>
      <c r="B126" s="144"/>
      <c r="AB126" s="117"/>
    </row>
    <row r="127" spans="1:28" s="8" customFormat="1">
      <c r="A127" s="144"/>
      <c r="B127" s="144"/>
      <c r="AB127" s="117"/>
    </row>
    <row r="128" spans="1:28" s="8" customFormat="1">
      <c r="A128" s="144"/>
      <c r="B128" s="144"/>
      <c r="AB128" s="115"/>
    </row>
    <row r="129" spans="1:28" s="8" customFormat="1">
      <c r="A129" s="144"/>
      <c r="B129" s="144"/>
      <c r="AB129" s="117"/>
    </row>
    <row r="130" spans="1:28" s="8" customFormat="1">
      <c r="A130" s="144"/>
      <c r="B130" s="144"/>
      <c r="AB130" s="76"/>
    </row>
    <row r="131" spans="1:28" s="8" customFormat="1">
      <c r="A131" s="144"/>
      <c r="B131" s="144"/>
      <c r="AB131" s="76"/>
    </row>
    <row r="132" spans="1:28" s="8" customFormat="1">
      <c r="A132" s="144"/>
      <c r="B132" s="144"/>
      <c r="AB132" s="76"/>
    </row>
    <row r="133" spans="1:28" s="8" customFormat="1">
      <c r="A133" s="144"/>
      <c r="B133" s="144"/>
      <c r="AB133" s="76"/>
    </row>
    <row r="134" spans="1:28" s="8" customFormat="1">
      <c r="A134" s="144"/>
      <c r="B134" s="144"/>
      <c r="AB134" s="76"/>
    </row>
    <row r="135" spans="1:28" s="8" customFormat="1">
      <c r="A135" s="144"/>
      <c r="B135" s="144"/>
      <c r="AB135" s="76"/>
    </row>
    <row r="136" spans="1:28" s="8" customFormat="1">
      <c r="A136" s="144"/>
      <c r="B136" s="144"/>
      <c r="AB136" s="76"/>
    </row>
    <row r="137" spans="1:28" s="8" customFormat="1">
      <c r="A137" s="144"/>
      <c r="B137" s="144"/>
      <c r="AB137" s="76"/>
    </row>
    <row r="138" spans="1:28" s="8" customFormat="1">
      <c r="A138" s="144"/>
      <c r="B138" s="144"/>
      <c r="AB138" s="76"/>
    </row>
    <row r="139" spans="1:28" s="8" customFormat="1">
      <c r="A139" s="144"/>
      <c r="B139" s="144"/>
      <c r="AB139" s="76"/>
    </row>
    <row r="140" spans="1:28" s="8" customFormat="1">
      <c r="A140" s="144"/>
      <c r="B140" s="144"/>
      <c r="AB140" s="76"/>
    </row>
    <row r="141" spans="1:28" s="8" customFormat="1">
      <c r="A141" s="144"/>
      <c r="B141" s="144"/>
      <c r="AB141" s="76"/>
    </row>
    <row r="142" spans="1:28" s="8" customFormat="1">
      <c r="A142" s="144"/>
      <c r="B142" s="144"/>
      <c r="AB142" s="76"/>
    </row>
    <row r="143" spans="1:28" s="8" customFormat="1">
      <c r="A143" s="144"/>
      <c r="B143" s="144"/>
      <c r="AB143" s="76"/>
    </row>
    <row r="144" spans="1:28" s="8" customFormat="1">
      <c r="A144" s="144"/>
      <c r="B144" s="144"/>
      <c r="AB144" s="76"/>
    </row>
    <row r="145" spans="1:30" s="8" customFormat="1">
      <c r="A145" s="144"/>
      <c r="B145" s="144"/>
      <c r="AB145" s="76"/>
    </row>
    <row r="146" spans="1:30" s="8" customFormat="1">
      <c r="A146" s="144"/>
      <c r="B146" s="144"/>
      <c r="AB146" s="76"/>
    </row>
    <row r="147" spans="1:30" s="8" customFormat="1">
      <c r="A147" s="144"/>
      <c r="B147" s="144"/>
      <c r="AB147" s="76"/>
    </row>
    <row r="148" spans="1:30">
      <c r="A148" s="144"/>
      <c r="B148" s="144"/>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76"/>
      <c r="AC148" s="8"/>
      <c r="AD148" s="8"/>
    </row>
    <row r="149" spans="1:30">
      <c r="AB149" s="76"/>
    </row>
    <row r="150" spans="1:30">
      <c r="AB150" s="76"/>
    </row>
    <row r="151" spans="1:30">
      <c r="AB151" s="76"/>
    </row>
    <row r="152" spans="1:30">
      <c r="AB152" s="76"/>
    </row>
    <row r="153" spans="1:30">
      <c r="AB153" s="76"/>
    </row>
    <row r="154" spans="1:30">
      <c r="AB154" s="76"/>
    </row>
    <row r="155" spans="1:30">
      <c r="AB155" s="76"/>
    </row>
    <row r="156" spans="1:30">
      <c r="AB156" s="76"/>
    </row>
  </sheetData>
  <customSheetViews>
    <customSheetView guid="{ED9E521F-BC9B-4E88-8A9F-5288A046401B}" showPageBreaks="1" showGridLines="0" fitToPage="1" printArea="1">
      <pane xSplit="1" ySplit="4" topLeftCell="AP5" activePane="bottomRight" state="frozen"/>
      <selection pane="bottomRight" activeCell="AR24" sqref="AR24"/>
      <pageMargins left="0.70866141732283505" right="0.70866141732283505" top="0.74803149606299202" bottom="0.74803149606299202" header="0.31496062992126" footer="0.31496062992126"/>
      <pageSetup paperSize="9" scale="29" orientation="landscape" horizontalDpi="1200" verticalDpi="1200" r:id="rId1"/>
    </customSheetView>
    <customSheetView guid="{634BFE77-A2AA-4FA6-8ED5-F02244B9F10C}" showPageBreaks="1" showGridLines="0" fitToPage="1" printArea="1" hiddenColumns="1">
      <pane xSplit="1" ySplit="4" topLeftCell="AI54" activePane="bottomRight" state="frozen"/>
      <selection pane="bottomRight" activeCell="AQ68" sqref="AQ68"/>
      <pageMargins left="0.70866141732283505" right="0.70866141732283505" top="0.74803149606299202" bottom="0.74803149606299202" header="0.31496062992126" footer="0.31496062992126"/>
      <pageSetup paperSize="9" scale="30" orientation="landscape" horizontalDpi="1200" verticalDpi="1200"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80" showPageBreaks="1" showGridLines="0" fitToPage="1" printArea="1" hiddenColumns="1">
      <pane xSplit="1" ySplit="4" topLeftCell="AN62" activePane="bottomRight" state="frozen"/>
      <selection pane="bottomRight" activeCell="AR72" sqref="AR72"/>
      <pageMargins left="0.70866141732283505" right="0.70866141732283505" top="0.74803149606299202" bottom="0.74803149606299202" header="0.31496062992126" footer="0.31496062992126"/>
      <pageSetup paperSize="9" scale="29" orientation="landscape" horizontalDpi="1200" verticalDpi="1200" r:id="rId3"/>
    </customSheetView>
    <customSheetView guid="{B87BD74C-18F3-4393-BF03-31B25889E08F}" showGridLines="0" fitToPage="1" hiddenColumns="1">
      <pane xSplit="1" ySplit="4" topLeftCell="AI26" activePane="bottomRight" state="frozen"/>
      <selection pane="bottomRight" activeCell="AQ30" sqref="AQ30"/>
      <pageMargins left="0.70866141732283505" right="0.70866141732283505" top="0.74803149606299202" bottom="0.74803149606299202" header="0.31496062992126" footer="0.31496062992126"/>
      <pageSetup paperSize="9" scale="30" orientation="landscape" horizontalDpi="1200" verticalDpi="1200" r:id="rId4"/>
    </customSheetView>
  </customSheetViews>
  <mergeCells count="11">
    <mergeCell ref="AQ2:AT2"/>
    <mergeCell ref="AM2:AP2"/>
    <mergeCell ref="AI2:AL2"/>
    <mergeCell ref="AE2:AH2"/>
    <mergeCell ref="AA2:AD2"/>
    <mergeCell ref="W2:Z2"/>
    <mergeCell ref="C2:F2"/>
    <mergeCell ref="G2:J2"/>
    <mergeCell ref="K2:N2"/>
    <mergeCell ref="O2:R2"/>
    <mergeCell ref="S2:V2"/>
  </mergeCells>
  <pageMargins left="0.70866141732283505" right="0.70866141732283505" top="0.74803149606299202" bottom="0.74803149606299202" header="0.31496062992126" footer="0.31496062992126"/>
  <pageSetup paperSize="9" scale="29" orientation="landscape" horizontalDpi="1200" verticalDpi="1200" r:id="rId5"/>
  <ignoredErrors>
    <ignoredError sqref="AC33" formulaRange="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9"/>
  <sheetViews>
    <sheetView showGridLines="0" zoomScale="85" zoomScaleNormal="85" zoomScaleSheetLayoutView="70" workbookViewId="0">
      <pane xSplit="2" topLeftCell="BF1" activePane="topRight" state="frozen"/>
      <selection pane="topRight" activeCell="A3" sqref="A3"/>
    </sheetView>
  </sheetViews>
  <sheetFormatPr defaultColWidth="9" defaultRowHeight="12" outlineLevelCol="1"/>
  <cols>
    <col min="1" max="1" width="35.125" style="631" customWidth="1"/>
    <col min="2" max="2" width="35.5" style="631" customWidth="1"/>
    <col min="3" max="6" width="8.625" style="631" customWidth="1"/>
    <col min="7" max="10" width="8.625" style="631" customWidth="1" outlineLevel="1"/>
    <col min="11" max="11" width="8.625" style="631" customWidth="1"/>
    <col min="12" max="15" width="8.625" style="631" customWidth="1" outlineLevel="1"/>
    <col min="16" max="16" width="8.625" style="631" customWidth="1"/>
    <col min="17" max="20" width="8.625" style="631" customWidth="1" outlineLevel="1"/>
    <col min="21" max="62" width="8.625" style="631" customWidth="1"/>
    <col min="63" max="16384" width="9" style="631"/>
  </cols>
  <sheetData>
    <row r="1" spans="1:64" ht="94.5" customHeight="1">
      <c r="A1" s="630"/>
      <c r="B1" s="630"/>
    </row>
    <row r="2" spans="1:64" s="636" customFormat="1" ht="42.75">
      <c r="A2" s="632" t="s">
        <v>541</v>
      </c>
      <c r="B2" s="632"/>
      <c r="C2" s="633">
        <v>2006</v>
      </c>
      <c r="D2" s="633">
        <v>2007</v>
      </c>
      <c r="E2" s="633">
        <v>2008</v>
      </c>
      <c r="F2" s="633">
        <v>2009</v>
      </c>
      <c r="G2" s="634" t="s">
        <v>542</v>
      </c>
      <c r="H2" s="634" t="s">
        <v>543</v>
      </c>
      <c r="I2" s="634" t="s">
        <v>544</v>
      </c>
      <c r="J2" s="634" t="s">
        <v>545</v>
      </c>
      <c r="K2" s="633">
        <v>2010</v>
      </c>
      <c r="L2" s="634" t="s">
        <v>546</v>
      </c>
      <c r="M2" s="634" t="s">
        <v>547</v>
      </c>
      <c r="N2" s="634" t="s">
        <v>548</v>
      </c>
      <c r="O2" s="634" t="s">
        <v>549</v>
      </c>
      <c r="P2" s="633">
        <v>2011</v>
      </c>
      <c r="Q2" s="634" t="s">
        <v>550</v>
      </c>
      <c r="R2" s="634" t="s">
        <v>551</v>
      </c>
      <c r="S2" s="634" t="s">
        <v>552</v>
      </c>
      <c r="T2" s="634" t="s">
        <v>553</v>
      </c>
      <c r="U2" s="633">
        <v>2012</v>
      </c>
      <c r="V2" s="634" t="s">
        <v>554</v>
      </c>
      <c r="W2" s="634" t="s">
        <v>555</v>
      </c>
      <c r="X2" s="634" t="s">
        <v>556</v>
      </c>
      <c r="Y2" s="634" t="s">
        <v>557</v>
      </c>
      <c r="Z2" s="633">
        <v>2013</v>
      </c>
      <c r="AA2" s="634" t="s">
        <v>558</v>
      </c>
      <c r="AB2" s="634" t="s">
        <v>559</v>
      </c>
      <c r="AC2" s="634" t="s">
        <v>560</v>
      </c>
      <c r="AD2" s="634" t="s">
        <v>561</v>
      </c>
      <c r="AE2" s="633">
        <v>2014</v>
      </c>
      <c r="AF2" s="634" t="s">
        <v>562</v>
      </c>
      <c r="AG2" s="634" t="s">
        <v>563</v>
      </c>
      <c r="AH2" s="634" t="s">
        <v>564</v>
      </c>
      <c r="AI2" s="634" t="s">
        <v>565</v>
      </c>
      <c r="AJ2" s="633">
        <v>2015</v>
      </c>
      <c r="AK2" s="634" t="s">
        <v>566</v>
      </c>
      <c r="AL2" s="634" t="s">
        <v>567</v>
      </c>
      <c r="AM2" s="634" t="s">
        <v>568</v>
      </c>
      <c r="AN2" s="634" t="s">
        <v>569</v>
      </c>
      <c r="AO2" s="633">
        <v>2016</v>
      </c>
      <c r="AP2" s="634" t="s">
        <v>570</v>
      </c>
      <c r="AQ2" s="634" t="s">
        <v>571</v>
      </c>
      <c r="AR2" s="634" t="s">
        <v>572</v>
      </c>
      <c r="AS2" s="634" t="s">
        <v>573</v>
      </c>
      <c r="AT2" s="635" t="s">
        <v>574</v>
      </c>
      <c r="AU2" s="634" t="s">
        <v>575</v>
      </c>
      <c r="AV2" s="634" t="s">
        <v>576</v>
      </c>
      <c r="AW2" s="634" t="s">
        <v>577</v>
      </c>
      <c r="AX2" s="634" t="s">
        <v>578</v>
      </c>
      <c r="AY2" s="635" t="s">
        <v>579</v>
      </c>
      <c r="AZ2" s="634" t="s">
        <v>580</v>
      </c>
      <c r="BA2" s="634" t="s">
        <v>581</v>
      </c>
      <c r="BB2" s="634" t="s">
        <v>582</v>
      </c>
      <c r="BC2" s="634" t="s">
        <v>583</v>
      </c>
      <c r="BD2" s="635" t="s">
        <v>584</v>
      </c>
      <c r="BE2" s="634" t="s">
        <v>585</v>
      </c>
      <c r="BF2" s="634" t="s">
        <v>586</v>
      </c>
      <c r="BG2" s="634" t="s">
        <v>587</v>
      </c>
      <c r="BH2" s="634" t="s">
        <v>588</v>
      </c>
      <c r="BI2" s="635" t="s">
        <v>589</v>
      </c>
      <c r="BJ2" s="634" t="s">
        <v>590</v>
      </c>
      <c r="BK2" s="634" t="s">
        <v>591</v>
      </c>
      <c r="BL2" s="634"/>
    </row>
    <row r="3" spans="1:64" s="641" customFormat="1" ht="42.75">
      <c r="A3" s="637"/>
      <c r="B3" s="637" t="s">
        <v>592</v>
      </c>
      <c r="C3" s="638">
        <v>2006</v>
      </c>
      <c r="D3" s="638">
        <v>2007</v>
      </c>
      <c r="E3" s="638">
        <v>2008</v>
      </c>
      <c r="F3" s="638">
        <v>2009</v>
      </c>
      <c r="G3" s="639" t="s">
        <v>542</v>
      </c>
      <c r="H3" s="639" t="s">
        <v>543</v>
      </c>
      <c r="I3" s="639" t="s">
        <v>544</v>
      </c>
      <c r="J3" s="639" t="s">
        <v>545</v>
      </c>
      <c r="K3" s="638">
        <v>2010</v>
      </c>
      <c r="L3" s="639" t="s">
        <v>546</v>
      </c>
      <c r="M3" s="639" t="s">
        <v>547</v>
      </c>
      <c r="N3" s="639" t="s">
        <v>548</v>
      </c>
      <c r="O3" s="639" t="s">
        <v>549</v>
      </c>
      <c r="P3" s="638">
        <v>2011</v>
      </c>
      <c r="Q3" s="639" t="s">
        <v>550</v>
      </c>
      <c r="R3" s="639" t="s">
        <v>551</v>
      </c>
      <c r="S3" s="639" t="s">
        <v>552</v>
      </c>
      <c r="T3" s="639" t="s">
        <v>553</v>
      </c>
      <c r="U3" s="638">
        <v>2012</v>
      </c>
      <c r="V3" s="639" t="s">
        <v>554</v>
      </c>
      <c r="W3" s="639" t="s">
        <v>555</v>
      </c>
      <c r="X3" s="639" t="s">
        <v>556</v>
      </c>
      <c r="Y3" s="639" t="s">
        <v>557</v>
      </c>
      <c r="Z3" s="638">
        <v>2013</v>
      </c>
      <c r="AA3" s="639" t="s">
        <v>558</v>
      </c>
      <c r="AB3" s="639" t="s">
        <v>559</v>
      </c>
      <c r="AC3" s="639" t="s">
        <v>560</v>
      </c>
      <c r="AD3" s="639" t="s">
        <v>561</v>
      </c>
      <c r="AE3" s="638">
        <v>2014</v>
      </c>
      <c r="AF3" s="639" t="s">
        <v>562</v>
      </c>
      <c r="AG3" s="639" t="s">
        <v>563</v>
      </c>
      <c r="AH3" s="639" t="s">
        <v>564</v>
      </c>
      <c r="AI3" s="639" t="s">
        <v>565</v>
      </c>
      <c r="AJ3" s="638">
        <v>2015</v>
      </c>
      <c r="AK3" s="639" t="s">
        <v>566</v>
      </c>
      <c r="AL3" s="639" t="s">
        <v>567</v>
      </c>
      <c r="AM3" s="639" t="s">
        <v>568</v>
      </c>
      <c r="AN3" s="639" t="s">
        <v>569</v>
      </c>
      <c r="AO3" s="638">
        <v>2016</v>
      </c>
      <c r="AP3" s="639" t="s">
        <v>593</v>
      </c>
      <c r="AQ3" s="639" t="s">
        <v>594</v>
      </c>
      <c r="AR3" s="639" t="s">
        <v>595</v>
      </c>
      <c r="AS3" s="639" t="s">
        <v>596</v>
      </c>
      <c r="AT3" s="640" t="s">
        <v>597</v>
      </c>
      <c r="AU3" s="639" t="s">
        <v>598</v>
      </c>
      <c r="AV3" s="639" t="s">
        <v>599</v>
      </c>
      <c r="AW3" s="639" t="s">
        <v>600</v>
      </c>
      <c r="AX3" s="639" t="s">
        <v>601</v>
      </c>
      <c r="AY3" s="640" t="s">
        <v>602</v>
      </c>
      <c r="AZ3" s="639" t="s">
        <v>603</v>
      </c>
      <c r="BA3" s="639" t="s">
        <v>604</v>
      </c>
      <c r="BB3" s="639" t="s">
        <v>605</v>
      </c>
      <c r="BC3" s="639" t="s">
        <v>605</v>
      </c>
      <c r="BD3" s="640" t="s">
        <v>606</v>
      </c>
      <c r="BE3" s="639" t="s">
        <v>607</v>
      </c>
      <c r="BF3" s="639" t="s">
        <v>608</v>
      </c>
      <c r="BG3" s="639" t="s">
        <v>609</v>
      </c>
      <c r="BH3" s="639" t="s">
        <v>610</v>
      </c>
      <c r="BI3" s="640" t="s">
        <v>611</v>
      </c>
      <c r="BJ3" s="639" t="s">
        <v>612</v>
      </c>
      <c r="BK3" s="639" t="s">
        <v>613</v>
      </c>
      <c r="BL3" s="639"/>
    </row>
    <row r="4" spans="1:64" s="646" customFormat="1" ht="24" customHeight="1">
      <c r="A4" s="642" t="s">
        <v>614</v>
      </c>
      <c r="B4" s="643" t="s">
        <v>615</v>
      </c>
      <c r="C4" s="644">
        <v>0.155</v>
      </c>
      <c r="D4" s="644">
        <v>0.21099999999999999</v>
      </c>
      <c r="E4" s="644">
        <v>0.317</v>
      </c>
      <c r="F4" s="644">
        <v>0.251</v>
      </c>
      <c r="G4" s="645">
        <v>0.32900000000000001</v>
      </c>
      <c r="H4" s="645">
        <v>0.29499999999999998</v>
      </c>
      <c r="I4" s="645">
        <v>0.28499999999999998</v>
      </c>
      <c r="J4" s="645">
        <v>0.191</v>
      </c>
      <c r="K4" s="644">
        <v>0.27500000000000002</v>
      </c>
      <c r="L4" s="645">
        <v>0.30870278738464518</v>
      </c>
      <c r="M4" s="645">
        <v>0.34613505621374752</v>
      </c>
      <c r="N4" s="645">
        <v>0.31878501150261895</v>
      </c>
      <c r="O4" s="645">
        <v>0.27406013939927337</v>
      </c>
      <c r="P4" s="644">
        <v>0.31073681541046316</v>
      </c>
      <c r="Q4" s="645">
        <v>0.38466527099742531</v>
      </c>
      <c r="R4" s="645">
        <v>0.3779041668709594</v>
      </c>
      <c r="S4" s="645">
        <v>0.4001250502295432</v>
      </c>
      <c r="T4" s="645">
        <v>0.32927622113037824</v>
      </c>
      <c r="U4" s="644">
        <v>0.37154971807437509</v>
      </c>
      <c r="V4" s="645">
        <v>0.3519157165072388</v>
      </c>
      <c r="W4" s="645">
        <v>0.34957890245592677</v>
      </c>
      <c r="X4" s="645">
        <v>0.3961214215056621</v>
      </c>
      <c r="Y4" s="645">
        <v>0.34405245121739447</v>
      </c>
      <c r="Z4" s="644">
        <v>0.35944885852796471</v>
      </c>
      <c r="AA4" s="645">
        <v>0.38927182921261261</v>
      </c>
      <c r="AB4" s="645">
        <v>0.40603700097370976</v>
      </c>
      <c r="AC4" s="645">
        <v>0.37613655149611497</v>
      </c>
      <c r="AD4" s="645">
        <v>0.33211693308476481</v>
      </c>
      <c r="AE4" s="644">
        <v>0.36954614772129168</v>
      </c>
      <c r="AF4" s="645">
        <v>0.38497209102619145</v>
      </c>
      <c r="AG4" s="645">
        <v>0.39567471245747615</v>
      </c>
      <c r="AH4" s="645">
        <v>0.3852747525777464</v>
      </c>
      <c r="AI4" s="645">
        <v>0.33759914172956829</v>
      </c>
      <c r="AJ4" s="644">
        <v>0.37515015779293487</v>
      </c>
      <c r="AK4" s="645">
        <v>0.35807952622673433</v>
      </c>
      <c r="AL4" s="645">
        <v>0.3827418232428671</v>
      </c>
      <c r="AM4" s="645">
        <v>0.4007873356227491</v>
      </c>
      <c r="AN4" s="645">
        <v>0.35592284328034396</v>
      </c>
      <c r="AO4" s="644">
        <v>0.37419063084544396</v>
      </c>
      <c r="AP4" s="645">
        <v>0.38914008205643491</v>
      </c>
      <c r="AQ4" s="645">
        <v>0.39017773998947319</v>
      </c>
      <c r="AR4" s="645">
        <v>0.35597473754653058</v>
      </c>
      <c r="AS4" s="645">
        <v>0.33836073200992561</v>
      </c>
      <c r="AT4" s="644">
        <v>0.36800765114054906</v>
      </c>
      <c r="AU4" s="645">
        <v>0.37938531054179631</v>
      </c>
      <c r="AV4" s="645">
        <v>0.36355255070682235</v>
      </c>
      <c r="AW4" s="645">
        <v>0.33638025594149901</v>
      </c>
      <c r="AX4" s="645">
        <v>0.31355762824783479</v>
      </c>
      <c r="AY4" s="644">
        <v>0.3460289535003418</v>
      </c>
      <c r="AZ4" s="645">
        <v>0.37193724029230529</v>
      </c>
      <c r="BA4" s="645">
        <v>0.36814916182004787</v>
      </c>
      <c r="BB4" s="645">
        <v>0.35282118655787575</v>
      </c>
      <c r="BC4" s="645">
        <v>0.34596461503372328</v>
      </c>
      <c r="BD4" s="644">
        <v>0.35942652084171944</v>
      </c>
      <c r="BE4" s="645">
        <v>0.36043139424960502</v>
      </c>
      <c r="BF4" s="645">
        <v>0.33534774862891703</v>
      </c>
      <c r="BG4" s="645">
        <v>0.35921425004161806</v>
      </c>
      <c r="BH4" s="645">
        <v>0.34673652177205838</v>
      </c>
      <c r="BI4" s="644">
        <v>0.35040486809552868</v>
      </c>
      <c r="BJ4" s="645">
        <f>'P&amp;L'!BG32</f>
        <v>0.36242217312713398</v>
      </c>
      <c r="BK4" s="645">
        <f>'P&amp;L'!BH32</f>
        <v>0.3610785834098173</v>
      </c>
      <c r="BL4" s="645"/>
    </row>
    <row r="5" spans="1:64" s="646" customFormat="1" ht="24" customHeight="1">
      <c r="A5" s="642" t="s">
        <v>616</v>
      </c>
      <c r="B5" s="643" t="s">
        <v>617</v>
      </c>
      <c r="C5" s="644">
        <v>0.11600000000000001</v>
      </c>
      <c r="D5" s="644">
        <v>0.14399999999999999</v>
      </c>
      <c r="E5" s="644">
        <v>0.246</v>
      </c>
      <c r="F5" s="644">
        <v>0.182</v>
      </c>
      <c r="G5" s="645">
        <v>0.23</v>
      </c>
      <c r="H5" s="645">
        <v>0.182</v>
      </c>
      <c r="I5" s="645">
        <v>0.188</v>
      </c>
      <c r="J5" s="645">
        <v>9.8000000000000004E-2</v>
      </c>
      <c r="K5" s="644">
        <v>0.17399999999999999</v>
      </c>
      <c r="L5" s="645">
        <v>0.18967721753120198</v>
      </c>
      <c r="M5" s="645">
        <v>0.1105688210628496</v>
      </c>
      <c r="N5" s="645" t="s">
        <v>618</v>
      </c>
      <c r="O5" s="645">
        <v>0.10608165132384817</v>
      </c>
      <c r="P5" s="644">
        <v>6.7707133573549461E-2</v>
      </c>
      <c r="Q5" s="645">
        <v>0.30649285055729641</v>
      </c>
      <c r="R5" s="645">
        <v>0.13939020375571728</v>
      </c>
      <c r="S5" s="645">
        <v>0.266952761732768</v>
      </c>
      <c r="T5" s="645">
        <v>0.1620322508446396</v>
      </c>
      <c r="U5" s="644">
        <v>0.21535338337745638</v>
      </c>
      <c r="V5" s="645">
        <v>0.13643419081993929</v>
      </c>
      <c r="W5" s="645">
        <v>0.10971771925199814</v>
      </c>
      <c r="X5" s="645">
        <v>0.26051734065642024</v>
      </c>
      <c r="Y5" s="645">
        <v>0.21631129917457795</v>
      </c>
      <c r="Z5" s="644">
        <v>0.18051820848101818</v>
      </c>
      <c r="AA5" s="645">
        <v>0.13582744164810381</v>
      </c>
      <c r="AB5" s="645">
        <v>7.5662981843175381E-2</v>
      </c>
      <c r="AC5" s="645">
        <v>1.9920648040998381E-2</v>
      </c>
      <c r="AD5" s="645">
        <v>5.5531315695532789E-3</v>
      </c>
      <c r="AE5" s="644">
        <v>3.94742169260043E-2</v>
      </c>
      <c r="AF5" s="645">
        <v>7.3336195792185463E-2</v>
      </c>
      <c r="AG5" s="645">
        <v>0.12331929369836385</v>
      </c>
      <c r="AH5" s="645">
        <v>0.20808315044101192</v>
      </c>
      <c r="AI5" s="645">
        <v>7.111383577914876E-2</v>
      </c>
      <c r="AJ5" s="644">
        <v>0.11843632291560617</v>
      </c>
      <c r="AK5" s="645">
        <v>7.5507614213197988E-2</v>
      </c>
      <c r="AL5" s="645">
        <v>9.4518809611527338E-2</v>
      </c>
      <c r="AM5" s="645">
        <v>0.11299103777535824</v>
      </c>
      <c r="AN5" s="645">
        <v>0.134827028519585</v>
      </c>
      <c r="AO5" s="644">
        <v>0.10493535324467103</v>
      </c>
      <c r="AP5" s="645">
        <v>0.11362304278656968</v>
      </c>
      <c r="AQ5" s="645">
        <v>0.11405320053443456</v>
      </c>
      <c r="AR5" s="645">
        <v>9.8247521853695272E-2</v>
      </c>
      <c r="AS5" s="645">
        <v>6.0949131513647663E-2</v>
      </c>
      <c r="AT5" s="644">
        <v>9.6168325092078288E-2</v>
      </c>
      <c r="AU5" s="645">
        <v>0.12455773903405941</v>
      </c>
      <c r="AV5" s="645">
        <v>8.8890596189305407E-2</v>
      </c>
      <c r="AW5" s="645">
        <v>8.3034734917733014E-2</v>
      </c>
      <c r="AX5" s="645">
        <v>2.1785476349100594E-2</v>
      </c>
      <c r="AY5" s="644">
        <v>7.6370237972693752E-2</v>
      </c>
      <c r="AZ5" s="645">
        <v>0.1064980656254476</v>
      </c>
      <c r="BA5" s="645">
        <v>9.1994526171741281E-2</v>
      </c>
      <c r="BB5" s="645">
        <v>8.1766007467846707E-2</v>
      </c>
      <c r="BC5" s="645">
        <v>0.10162588380958593</v>
      </c>
      <c r="BD5" s="644">
        <v>9.5459956663612081E-2</v>
      </c>
      <c r="BE5" s="645">
        <v>6.4521266111988732E-2</v>
      </c>
      <c r="BF5" s="645">
        <v>0.10154749013169415</v>
      </c>
      <c r="BG5" s="645">
        <v>0.11486598967870809</v>
      </c>
      <c r="BH5" s="645">
        <v>0.10056941383535499</v>
      </c>
      <c r="BI5" s="644">
        <v>9.5809410472377121E-2</v>
      </c>
      <c r="BJ5" s="645">
        <f>'P&amp;L'!BG27/'P&amp;L'!BG5</f>
        <v>0.13068219856731605</v>
      </c>
      <c r="BK5" s="645">
        <f>'P&amp;L'!BH27/'P&amp;L'!BH5</f>
        <v>0.17144032661328604</v>
      </c>
      <c r="BL5" s="645"/>
    </row>
    <row r="6" spans="1:64" s="78" customFormat="1" ht="24" customHeight="1">
      <c r="A6" s="1" t="s">
        <v>619</v>
      </c>
      <c r="B6" s="78" t="s">
        <v>620</v>
      </c>
      <c r="C6" s="644">
        <v>0.158</v>
      </c>
      <c r="D6" s="644">
        <v>0.191</v>
      </c>
      <c r="E6" s="644">
        <v>0.35599999999999998</v>
      </c>
      <c r="F6" s="644">
        <v>0.29699999999999999</v>
      </c>
      <c r="G6" s="645">
        <v>0.10100000000000001</v>
      </c>
      <c r="H6" s="645">
        <v>7.0999999999999994E-2</v>
      </c>
      <c r="I6" s="645">
        <v>6.9000000000000006E-2</v>
      </c>
      <c r="J6" s="645">
        <v>3.5999999999999997E-2</v>
      </c>
      <c r="K6" s="644">
        <v>0.255</v>
      </c>
      <c r="L6" s="645">
        <v>6.2271468324674333E-2</v>
      </c>
      <c r="M6" s="645">
        <v>1.3239521157757844E-2</v>
      </c>
      <c r="N6" s="645" t="s">
        <v>618</v>
      </c>
      <c r="O6" s="645">
        <v>1.4264993041101997E-2</v>
      </c>
      <c r="P6" s="644">
        <v>2.9950184610851395E-2</v>
      </c>
      <c r="Q6" s="645">
        <v>3.7273881405565285E-2</v>
      </c>
      <c r="R6" s="645">
        <v>1.7775372865166162E-2</v>
      </c>
      <c r="S6" s="645">
        <v>3.1199624869035991E-2</v>
      </c>
      <c r="T6" s="645">
        <v>2.1869529763033944E-2</v>
      </c>
      <c r="U6" s="644">
        <v>0.10758152928832863</v>
      </c>
      <c r="V6" s="645">
        <v>1.6894118349245417E-2</v>
      </c>
      <c r="W6" s="645">
        <v>1.4437552333780404E-2</v>
      </c>
      <c r="X6" s="645">
        <v>3.1520471398527435E-2</v>
      </c>
      <c r="Y6" s="645">
        <v>3.0503344649529706E-2</v>
      </c>
      <c r="Z6" s="644">
        <v>9.2569363820704936E-2</v>
      </c>
      <c r="AA6" s="645">
        <v>1.6778114005449145E-2</v>
      </c>
      <c r="AB6" s="645">
        <v>4.7471709233085704E-3</v>
      </c>
      <c r="AC6" s="645">
        <v>1.7539263205391209E-3</v>
      </c>
      <c r="AD6" s="645">
        <v>5.1209457655268075E-4</v>
      </c>
      <c r="AE6" s="644">
        <v>1.0699118831546462E-2</v>
      </c>
      <c r="AF6" s="645">
        <v>6.3051655844275677E-3</v>
      </c>
      <c r="AG6" s="645">
        <v>1.1218857997627276E-2</v>
      </c>
      <c r="AH6" s="645">
        <v>1.9220838831831989E-2</v>
      </c>
      <c r="AI6" s="645">
        <v>7.0063910668514045E-3</v>
      </c>
      <c r="AJ6" s="644">
        <v>4.3918294004175129E-2</v>
      </c>
      <c r="AK6" s="645">
        <v>6.2950750295357192E-3</v>
      </c>
      <c r="AL6" s="645">
        <v>8.3716748062985218E-3</v>
      </c>
      <c r="AM6" s="645">
        <v>9.8133713549945403E-3</v>
      </c>
      <c r="AN6" s="645">
        <v>1.232631187949209E-2</v>
      </c>
      <c r="AO6" s="644">
        <v>3.6820258715510319E-2</v>
      </c>
      <c r="AP6" s="645">
        <v>9.8500355675565938E-3</v>
      </c>
      <c r="AQ6" s="645">
        <v>1.0312071016747503E-2</v>
      </c>
      <c r="AR6" s="645">
        <v>8.7347448740545761E-3</v>
      </c>
      <c r="AS6" s="645">
        <v>5.6636402939904901E-3</v>
      </c>
      <c r="AT6" s="644">
        <v>3.4053898256232916E-2</v>
      </c>
      <c r="AU6" s="645">
        <v>1.0475220832855341E-2</v>
      </c>
      <c r="AV6" s="645">
        <v>7.7777329622608473E-3</v>
      </c>
      <c r="AW6" s="645">
        <v>7.4715498777771496E-3</v>
      </c>
      <c r="AX6" s="645">
        <v>2.1305152328581472E-3</v>
      </c>
      <c r="AY6" s="644">
        <v>2.658583305100215E-2</v>
      </c>
      <c r="AZ6" s="645">
        <v>9.4489540360668291E-3</v>
      </c>
      <c r="BA6" s="645">
        <v>8.5748360927574603E-3</v>
      </c>
      <c r="BB6" s="645">
        <v>7.5612976657490755E-3</v>
      </c>
      <c r="BC6" s="645">
        <v>9.5705378402926155E-3</v>
      </c>
      <c r="BD6" s="644">
        <v>3.4201094827797859E-2</v>
      </c>
      <c r="BE6" s="645">
        <v>5.6275610027343359E-3</v>
      </c>
      <c r="BF6" s="645">
        <v>8.9109457189450597E-3</v>
      </c>
      <c r="BG6" s="645">
        <v>1.0513773042685913E-2</v>
      </c>
      <c r="BH6" s="645">
        <v>9.8647008914389284E-3</v>
      </c>
      <c r="BI6" s="644">
        <v>3.4611456939151457E-2</v>
      </c>
      <c r="BJ6" s="645">
        <f>'P&amp;L'!BG27/'Balance sheet'!AM38</f>
        <v>1.1846637029844181E-2</v>
      </c>
      <c r="BK6" s="645">
        <f>'P&amp;L'!BH27/'Balance sheet'!AN38</f>
        <v>1.6453892954015972E-2</v>
      </c>
      <c r="BL6" s="645"/>
    </row>
    <row r="7" spans="1:64" s="78" customFormat="1" ht="24" customHeight="1">
      <c r="A7" s="1" t="s">
        <v>621</v>
      </c>
      <c r="B7" s="78" t="s">
        <v>622</v>
      </c>
      <c r="C7" s="644" t="s">
        <v>618</v>
      </c>
      <c r="D7" s="644" t="s">
        <v>618</v>
      </c>
      <c r="E7" s="644">
        <v>11.443</v>
      </c>
      <c r="F7" s="644">
        <v>2.5009999999999999</v>
      </c>
      <c r="G7" s="645">
        <v>0.26700000000000002</v>
      </c>
      <c r="H7" s="645">
        <v>0.26200000000000001</v>
      </c>
      <c r="I7" s="645">
        <v>0.21199999999999999</v>
      </c>
      <c r="J7" s="645">
        <v>9.5000000000000001E-2</v>
      </c>
      <c r="K7" s="644">
        <v>1.5249999999999999</v>
      </c>
      <c r="L7" s="645">
        <v>0.17852586122288744</v>
      </c>
      <c r="M7" s="645">
        <v>3.8577428856174406E-2</v>
      </c>
      <c r="N7" s="645" t="s">
        <v>618</v>
      </c>
      <c r="O7" s="645">
        <v>4.1927279961049509E-2</v>
      </c>
      <c r="P7" s="644">
        <v>9.1999999999999998E-2</v>
      </c>
      <c r="Q7" s="645">
        <v>0.10877317095676947</v>
      </c>
      <c r="R7" s="645">
        <v>4.7546166174335783E-2</v>
      </c>
      <c r="S7" s="645">
        <v>7.8824364260900753E-2</v>
      </c>
      <c r="T7" s="645">
        <v>5.1825928219061103E-2</v>
      </c>
      <c r="U7" s="644">
        <v>0.31992749070239374</v>
      </c>
      <c r="V7" s="645">
        <v>3.854988705193179E-2</v>
      </c>
      <c r="W7" s="645">
        <v>3.1460520932769673E-2</v>
      </c>
      <c r="X7" s="645">
        <v>6.6607225701146078E-2</v>
      </c>
      <c r="Y7" s="645">
        <v>6.122340013627673E-2</v>
      </c>
      <c r="Z7" s="644">
        <v>0.21223515288993153</v>
      </c>
      <c r="AA7" s="645">
        <v>3.2613364596168266E-2</v>
      </c>
      <c r="AB7" s="645">
        <v>1.4743961784008204E-2</v>
      </c>
      <c r="AC7" s="645">
        <v>5.3069088907238835E-3</v>
      </c>
      <c r="AD7" s="645">
        <v>1.5445378522098774E-3</v>
      </c>
      <c r="AE7" s="644">
        <v>3.3292737061360989E-2</v>
      </c>
      <c r="AF7" s="645">
        <v>1.8684840992878312E-2</v>
      </c>
      <c r="AG7" s="645">
        <v>3.2907179060443298E-2</v>
      </c>
      <c r="AH7" s="645">
        <v>5.2576510593774481E-2</v>
      </c>
      <c r="AI7" s="645">
        <v>1.8441055193998745E-2</v>
      </c>
      <c r="AJ7" s="644">
        <v>0.12803327940836601</v>
      </c>
      <c r="AK7" s="645">
        <v>1.7454310774736723E-2</v>
      </c>
      <c r="AL7" s="645">
        <v>2.1926367667866348E-2</v>
      </c>
      <c r="AM7" s="645">
        <v>2.5065730185716849E-2</v>
      </c>
      <c r="AN7" s="645">
        <v>3.0971927726127686E-2</v>
      </c>
      <c r="AO7" s="644">
        <v>9.8584477531236128E-2</v>
      </c>
      <c r="AP7" s="645">
        <v>2.3855356028443631E-2</v>
      </c>
      <c r="AQ7" s="645">
        <v>2.4616809689427963E-2</v>
      </c>
      <c r="AR7" s="645">
        <v>2.003411513859275E-2</v>
      </c>
      <c r="AS7" s="645">
        <v>1.3144252316130978E-2</v>
      </c>
      <c r="AT7" s="644">
        <v>8.4607397328941306E-2</v>
      </c>
      <c r="AU7" s="645">
        <v>2.3166941519725995E-2</v>
      </c>
      <c r="AV7" s="645">
        <v>1.7500340326410829E-2</v>
      </c>
      <c r="AW7" s="645">
        <v>1.6879487446299284E-2</v>
      </c>
      <c r="AX7" s="645">
        <v>4.7357673536184428E-3</v>
      </c>
      <c r="AY7" s="644">
        <v>6.2492821097931937E-2</v>
      </c>
      <c r="AZ7" s="645">
        <v>2.1426563749972937E-2</v>
      </c>
      <c r="BA7" s="645">
        <v>1.9700210995193979E-2</v>
      </c>
      <c r="BB7" s="645">
        <v>1.6991651459198471E-2</v>
      </c>
      <c r="BC7" s="645">
        <v>2.2038353376764706E-2</v>
      </c>
      <c r="BD7" s="644">
        <v>8.3491262106832345E-2</v>
      </c>
      <c r="BE7" s="645">
        <v>1.2713485180485014E-2</v>
      </c>
      <c r="BF7" s="645">
        <v>1.9846661159394624E-2</v>
      </c>
      <c r="BG7" s="645">
        <v>2.412874257778895E-2</v>
      </c>
      <c r="BH7" s="645">
        <v>2.3157985929700729E-2</v>
      </c>
      <c r="BI7" s="644">
        <v>8.626396577458123E-2</v>
      </c>
      <c r="BJ7" s="645">
        <f>'P&amp;L'!BG27/('Balance sheet'!AM51-'P&amp;L'!BG27)</f>
        <v>2.6068550137220467E-2</v>
      </c>
      <c r="BK7" s="645">
        <f>'P&amp;L'!BH27/('Balance sheet'!AN51-'P&amp;L'!BH27)</f>
        <v>3.7564057223297066E-2</v>
      </c>
      <c r="BL7" s="645"/>
    </row>
    <row r="8" spans="1:64" s="78" customFormat="1" ht="24" customHeight="1">
      <c r="A8" s="1" t="s">
        <v>623</v>
      </c>
      <c r="B8" s="78" t="s">
        <v>624</v>
      </c>
      <c r="C8" s="647">
        <v>0.6</v>
      </c>
      <c r="D8" s="647">
        <v>1.1000000000000001</v>
      </c>
      <c r="E8" s="647">
        <v>1.4</v>
      </c>
      <c r="F8" s="647">
        <v>1</v>
      </c>
      <c r="G8" s="648">
        <v>1.2</v>
      </c>
      <c r="H8" s="648">
        <v>0.9</v>
      </c>
      <c r="I8" s="648">
        <v>1</v>
      </c>
      <c r="J8" s="648">
        <v>0.9</v>
      </c>
      <c r="K8" s="647">
        <v>0.9</v>
      </c>
      <c r="L8" s="648">
        <v>0.99222253558666473</v>
      </c>
      <c r="M8" s="648">
        <v>1.1972812574503593</v>
      </c>
      <c r="N8" s="648">
        <v>1.1937547068795404</v>
      </c>
      <c r="O8" s="648">
        <v>1.1052998425278158</v>
      </c>
      <c r="P8" s="647">
        <v>1.1000000000000001</v>
      </c>
      <c r="Q8" s="648">
        <v>1.2520302028925108</v>
      </c>
      <c r="R8" s="648">
        <v>1.13470796163891</v>
      </c>
      <c r="S8" s="648">
        <v>1.0480052530350539</v>
      </c>
      <c r="T8" s="648">
        <v>1.0172641031890362</v>
      </c>
      <c r="U8" s="647">
        <v>1.0172641031890362</v>
      </c>
      <c r="V8" s="648">
        <v>1.1953668834873901</v>
      </c>
      <c r="W8" s="648">
        <v>1.1434662606816619</v>
      </c>
      <c r="X8" s="648">
        <v>1.2291320432164132</v>
      </c>
      <c r="Y8" s="648">
        <v>1.2518939180227138</v>
      </c>
      <c r="Z8" s="647">
        <v>1.2518939180227138</v>
      </c>
      <c r="AA8" s="648">
        <v>1.3919076872487033</v>
      </c>
      <c r="AB8" s="648">
        <v>1.1114925821972736</v>
      </c>
      <c r="AC8" s="648">
        <v>0.94501659921971548</v>
      </c>
      <c r="AD8" s="648">
        <v>0.95569502090756708</v>
      </c>
      <c r="AE8" s="647">
        <v>0.95569502090756708</v>
      </c>
      <c r="AF8" s="648">
        <v>0.95351583208829338</v>
      </c>
      <c r="AG8" s="648">
        <v>1.0069261213720315</v>
      </c>
      <c r="AH8" s="648">
        <v>0.47434112256006483</v>
      </c>
      <c r="AI8" s="648">
        <v>0.49948621035847135</v>
      </c>
      <c r="AJ8" s="647">
        <v>0.49948621035847135</v>
      </c>
      <c r="AK8" s="648">
        <v>0.92874645654158483</v>
      </c>
      <c r="AL8" s="648">
        <v>0.9143403550836332</v>
      </c>
      <c r="AM8" s="648">
        <v>0.99730487345250907</v>
      </c>
      <c r="AN8" s="648">
        <v>1.0242312289470821</v>
      </c>
      <c r="AO8" s="647">
        <v>1.0242312289470821</v>
      </c>
      <c r="AP8" s="648">
        <v>0.89580852038479164</v>
      </c>
      <c r="AQ8" s="648">
        <v>0.89208350653549495</v>
      </c>
      <c r="AR8" s="648">
        <v>0.91086116341294232</v>
      </c>
      <c r="AS8" s="648">
        <v>1.0040863235857489</v>
      </c>
      <c r="AT8" s="647">
        <v>1.0040863235857489</v>
      </c>
      <c r="AU8" s="648">
        <v>1.490674318507891</v>
      </c>
      <c r="AV8" s="648">
        <v>1.1393504531722054</v>
      </c>
      <c r="AW8" s="648">
        <v>1.1493006613900034</v>
      </c>
      <c r="AX8" s="648">
        <v>1.0805204638743873</v>
      </c>
      <c r="AY8" s="647">
        <v>1.0805204638743873</v>
      </c>
      <c r="AZ8" s="648">
        <v>1.0288783163318305</v>
      </c>
      <c r="BA8" s="648">
        <v>0.90459880771651757</v>
      </c>
      <c r="BB8" s="648">
        <v>0.8907010624311551</v>
      </c>
      <c r="BC8" s="648">
        <v>0.8494768412801198</v>
      </c>
      <c r="BD8" s="647">
        <v>0.8494768412801198</v>
      </c>
      <c r="BE8" s="648">
        <v>1.0446639929570576</v>
      </c>
      <c r="BF8" s="648">
        <v>1.4179311763798159</v>
      </c>
      <c r="BG8" s="648">
        <v>1.1340274796049807</v>
      </c>
      <c r="BH8" s="648">
        <v>1.0005308660700745</v>
      </c>
      <c r="BI8" s="647">
        <v>1.0005308660700745</v>
      </c>
      <c r="BJ8" s="648">
        <f>'Balance sheet'!AM35/'Balance sheet'!AM73</f>
        <v>1.2774572249281877</v>
      </c>
      <c r="BK8" s="648">
        <f>'Balance sheet'!AN35/'Balance sheet'!AN73</f>
        <v>1.0301228183581126</v>
      </c>
      <c r="BL8" s="648"/>
    </row>
    <row r="9" spans="1:64" s="78" customFormat="1" ht="24" customHeight="1">
      <c r="A9" s="679" t="s">
        <v>625</v>
      </c>
      <c r="B9" s="680" t="s">
        <v>626</v>
      </c>
      <c r="C9" s="681">
        <v>1.177</v>
      </c>
      <c r="D9" s="681">
        <v>0.89700000000000002</v>
      </c>
      <c r="E9" s="681">
        <v>0.61299999999999999</v>
      </c>
      <c r="F9" s="681">
        <v>0.58399999999999996</v>
      </c>
      <c r="G9" s="682">
        <v>0.52300000000000002</v>
      </c>
      <c r="H9" s="682">
        <v>0.65900000000000003</v>
      </c>
      <c r="I9" s="682">
        <v>0.60299999999999998</v>
      </c>
      <c r="J9" s="682">
        <v>0.57799999999999996</v>
      </c>
      <c r="K9" s="681">
        <v>0.57799999999999996</v>
      </c>
      <c r="L9" s="682">
        <v>0.58891930091111089</v>
      </c>
      <c r="M9" s="682">
        <v>0.64356702219385198</v>
      </c>
      <c r="N9" s="682">
        <v>0.66091379189163646</v>
      </c>
      <c r="O9" s="682">
        <v>0.64550322816584982</v>
      </c>
      <c r="P9" s="681">
        <v>0.64600000000000002</v>
      </c>
      <c r="Q9" s="682">
        <v>0.6200507963830475</v>
      </c>
      <c r="R9" s="682">
        <v>0.60836960799428208</v>
      </c>
      <c r="S9" s="682">
        <v>0.57298843092335383</v>
      </c>
      <c r="T9" s="682">
        <v>0.55614999608907556</v>
      </c>
      <c r="U9" s="681">
        <v>0.55614999608907556</v>
      </c>
      <c r="V9" s="682">
        <v>0.54486547055728474</v>
      </c>
      <c r="W9" s="682">
        <v>0.52665229914601286</v>
      </c>
      <c r="X9" s="682">
        <v>0.49525051978561557</v>
      </c>
      <c r="Y9" s="682">
        <v>0.47126649202023174</v>
      </c>
      <c r="Z9" s="681">
        <v>0.47126649202023174</v>
      </c>
      <c r="AA9" s="682">
        <v>0.46876671667355413</v>
      </c>
      <c r="AB9" s="682">
        <v>0.67327892593910244</v>
      </c>
      <c r="AC9" s="682">
        <v>0.66774740549903211</v>
      </c>
      <c r="AD9" s="682">
        <v>0.66793699017975172</v>
      </c>
      <c r="AE9" s="681">
        <v>0.66793699017975172</v>
      </c>
      <c r="AF9" s="682">
        <v>0.65624665453377584</v>
      </c>
      <c r="AG9" s="682">
        <v>0.64785681126528083</v>
      </c>
      <c r="AH9" s="682">
        <v>0.61520071910800012</v>
      </c>
      <c r="AI9" s="682">
        <v>0.61305921834949684</v>
      </c>
      <c r="AJ9" s="681">
        <v>0.61305921834949684</v>
      </c>
      <c r="AK9" s="682">
        <v>0.63304473558921559</v>
      </c>
      <c r="AL9" s="682">
        <v>0.60981976788452963</v>
      </c>
      <c r="AM9" s="682">
        <v>0.59868152930210516</v>
      </c>
      <c r="AN9" s="682">
        <v>0.58969032755965733</v>
      </c>
      <c r="AO9" s="681">
        <v>0.58969032755965733</v>
      </c>
      <c r="AP9" s="682">
        <v>0.57724329660438722</v>
      </c>
      <c r="AQ9" s="682">
        <v>0.57078429578109258</v>
      </c>
      <c r="AR9" s="682">
        <v>0.55527171043335344</v>
      </c>
      <c r="AS9" s="682">
        <v>0.56345294711053473</v>
      </c>
      <c r="AT9" s="681">
        <v>0.56345294711053473</v>
      </c>
      <c r="AU9" s="682">
        <v>0.53736233796030752</v>
      </c>
      <c r="AV9" s="682">
        <v>0.54778902647252581</v>
      </c>
      <c r="AW9" s="682">
        <v>0.54988764710333504</v>
      </c>
      <c r="AX9" s="682">
        <v>0.54799197310468839</v>
      </c>
      <c r="AY9" s="681">
        <v>0.54799197310468839</v>
      </c>
      <c r="AZ9" s="682">
        <v>0.5495585402907468</v>
      </c>
      <c r="BA9" s="682">
        <v>0.55615895813668714</v>
      </c>
      <c r="BB9" s="682">
        <v>0.54743795100023351</v>
      </c>
      <c r="BC9" s="682">
        <v>0.5561620885190367</v>
      </c>
      <c r="BD9" s="681">
        <v>0.5561620885190367</v>
      </c>
      <c r="BE9" s="682">
        <v>0.55172741107270029</v>
      </c>
      <c r="BF9" s="682">
        <v>0.54209939061024826</v>
      </c>
      <c r="BG9" s="682">
        <v>0.55374976001170229</v>
      </c>
      <c r="BH9" s="682">
        <v>0.56436056167899751</v>
      </c>
      <c r="BI9" s="681">
        <v>0.56436056167899751</v>
      </c>
      <c r="BJ9" s="682">
        <f>'Balance sheet'!AM76/'Balance sheet'!AM38</f>
        <v>0.53371163270570032</v>
      </c>
      <c r="BK9" s="682">
        <f>'Balance sheet'!AN76/'Balance sheet'!AN38</f>
        <v>0.54552385465171038</v>
      </c>
      <c r="BL9" s="682"/>
    </row>
    <row r="13" spans="1:64" s="650" customFormat="1" ht="14.25">
      <c r="A13" s="649" t="s">
        <v>627</v>
      </c>
      <c r="B13" s="649" t="s">
        <v>628</v>
      </c>
    </row>
    <row r="14" spans="1:64" s="650" customFormat="1" ht="14.25">
      <c r="A14" s="649" t="s">
        <v>629</v>
      </c>
      <c r="B14" s="649" t="s">
        <v>630</v>
      </c>
    </row>
    <row r="15" spans="1:64" s="650" customFormat="1" ht="14.25">
      <c r="A15" s="649" t="s">
        <v>631</v>
      </c>
      <c r="B15" s="649" t="s">
        <v>632</v>
      </c>
      <c r="AQ15" s="651"/>
      <c r="AR15" s="651"/>
      <c r="AS15" s="651"/>
      <c r="AT15" s="651"/>
      <c r="AX15" s="651"/>
      <c r="AY15" s="651"/>
      <c r="BD15" s="651"/>
      <c r="BI15" s="651"/>
    </row>
    <row r="16" spans="1:64" s="650" customFormat="1" ht="14.25">
      <c r="A16" s="649" t="s">
        <v>633</v>
      </c>
      <c r="B16" s="649" t="s">
        <v>634</v>
      </c>
    </row>
    <row r="17" spans="1:2" s="650" customFormat="1" ht="14.25">
      <c r="A17" s="649" t="s">
        <v>635</v>
      </c>
      <c r="B17" s="649" t="s">
        <v>636</v>
      </c>
    </row>
    <row r="18" spans="1:2" s="650" customFormat="1" ht="14.25">
      <c r="A18" s="649" t="s">
        <v>637</v>
      </c>
      <c r="B18" s="649" t="s">
        <v>638</v>
      </c>
    </row>
    <row r="19" spans="1:2" s="651" customFormat="1" ht="14.25">
      <c r="A19" s="649" t="s">
        <v>639</v>
      </c>
      <c r="B19" s="652" t="s">
        <v>640</v>
      </c>
    </row>
  </sheetData>
  <pageMargins left="0.70866141732283472" right="0.70866141732283472" top="0.74803149606299213" bottom="0.74803149606299213" header="0.31496062992125984" footer="0.31496062992125984"/>
  <pageSetup paperSize="9" scale="25" orientation="landscape"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56"/>
  <sheetViews>
    <sheetView showGridLines="0" zoomScale="70" zoomScaleNormal="70" zoomScaleSheetLayoutView="85" workbookViewId="0">
      <selection activeCell="J35" sqref="J35"/>
    </sheetView>
  </sheetViews>
  <sheetFormatPr defaultColWidth="9" defaultRowHeight="28.5" customHeight="1" outlineLevelRow="1" outlineLevelCol="1"/>
  <cols>
    <col min="1" max="2" width="40.625" style="1" customWidth="1"/>
    <col min="3" max="14" width="10.625" style="2" customWidth="1" outlineLevel="1"/>
    <col min="15" max="15" width="9" style="2" customWidth="1" outlineLevel="1"/>
    <col min="16" max="17" width="10.625" style="2" customWidth="1" outlineLevel="1"/>
    <col min="18" max="18" width="9" style="2" customWidth="1" outlineLevel="1"/>
    <col min="19" max="20" width="9" style="4" customWidth="1" outlineLevel="1"/>
    <col min="21" max="22" width="10.625" style="2" customWidth="1" outlineLevel="1"/>
    <col min="23" max="25" width="9" style="2" customWidth="1" outlineLevel="1"/>
    <col min="26" max="27" width="10.625" style="2" customWidth="1" outlineLevel="1"/>
    <col min="28" max="30" width="9" style="2" customWidth="1" outlineLevel="1"/>
    <col min="31" max="32" width="10.625" style="2" customWidth="1" outlineLevel="1"/>
    <col min="33" max="35" width="9" style="2"/>
    <col min="36" max="37" width="10.625" style="2" customWidth="1"/>
    <col min="38" max="38" width="9" style="2"/>
    <col min="39" max="40" width="9" style="4"/>
    <col min="41" max="43" width="9" style="2"/>
    <col min="44" max="45" width="9" style="4"/>
    <col min="46" max="48" width="9" style="2"/>
    <col min="49" max="50" width="9" style="4"/>
    <col min="51" max="16384" width="9" style="2"/>
  </cols>
  <sheetData>
    <row r="1" spans="1:55" s="13" customFormat="1" ht="89.25" customHeight="1">
      <c r="A1" s="5"/>
      <c r="B1" s="5"/>
      <c r="C1" s="5"/>
      <c r="AM1" s="119"/>
      <c r="AN1" s="119"/>
      <c r="AR1" s="119"/>
      <c r="AS1" s="119"/>
      <c r="AW1" s="119"/>
      <c r="AX1" s="119"/>
    </row>
    <row r="2" spans="1:55" s="110" customFormat="1" ht="12.75" thickBot="1">
      <c r="A2" s="722"/>
      <c r="B2" s="722"/>
      <c r="C2" s="722"/>
      <c r="D2" s="722"/>
      <c r="E2" s="722"/>
      <c r="F2" s="722"/>
      <c r="G2" s="722"/>
      <c r="H2" s="722"/>
      <c r="I2" s="722"/>
      <c r="J2" s="722"/>
      <c r="K2" s="722"/>
      <c r="L2" s="722"/>
      <c r="M2" s="722"/>
      <c r="N2" s="722"/>
      <c r="O2" s="722"/>
      <c r="S2" s="39"/>
      <c r="T2" s="39"/>
      <c r="AK2" s="96"/>
      <c r="AM2" s="4"/>
      <c r="AN2" s="4"/>
      <c r="AR2" s="4"/>
      <c r="AS2" s="4"/>
      <c r="AW2" s="4"/>
      <c r="AX2" s="4"/>
    </row>
    <row r="3" spans="1:55" s="454" customFormat="1" ht="20.100000000000001" customHeight="1">
      <c r="A3" s="299" t="s">
        <v>530</v>
      </c>
      <c r="B3" s="300" t="s">
        <v>531</v>
      </c>
      <c r="C3" s="720">
        <v>2012</v>
      </c>
      <c r="D3" s="721"/>
      <c r="E3" s="721"/>
      <c r="F3" s="721"/>
      <c r="G3" s="723">
        <v>2012</v>
      </c>
      <c r="H3" s="720">
        <v>2013</v>
      </c>
      <c r="I3" s="721"/>
      <c r="J3" s="721"/>
      <c r="K3" s="721"/>
      <c r="L3" s="723">
        <v>2013</v>
      </c>
      <c r="M3" s="720">
        <v>2014</v>
      </c>
      <c r="N3" s="721"/>
      <c r="O3" s="721"/>
      <c r="P3" s="721"/>
      <c r="Q3" s="723">
        <v>2014</v>
      </c>
      <c r="R3" s="720">
        <v>2015</v>
      </c>
      <c r="S3" s="721"/>
      <c r="T3" s="721"/>
      <c r="U3" s="721"/>
      <c r="V3" s="723">
        <v>2015</v>
      </c>
      <c r="W3" s="720">
        <v>2016</v>
      </c>
      <c r="X3" s="721"/>
      <c r="Y3" s="721"/>
      <c r="Z3" s="721"/>
      <c r="AA3" s="723">
        <v>2016</v>
      </c>
      <c r="AB3" s="720">
        <v>2017</v>
      </c>
      <c r="AC3" s="721"/>
      <c r="AD3" s="721"/>
      <c r="AE3" s="721"/>
      <c r="AF3" s="723">
        <v>2017</v>
      </c>
      <c r="AG3" s="720">
        <v>2018</v>
      </c>
      <c r="AH3" s="721"/>
      <c r="AI3" s="721"/>
      <c r="AJ3" s="721"/>
      <c r="AK3" s="723" t="s">
        <v>536</v>
      </c>
      <c r="AL3" s="720">
        <v>2019</v>
      </c>
      <c r="AM3" s="721"/>
      <c r="AN3" s="721"/>
      <c r="AO3" s="721"/>
      <c r="AP3" s="723" t="s">
        <v>405</v>
      </c>
      <c r="AQ3" s="720">
        <v>2020</v>
      </c>
      <c r="AR3" s="721"/>
      <c r="AS3" s="721"/>
      <c r="AT3" s="721"/>
      <c r="AU3" s="723" t="s">
        <v>406</v>
      </c>
      <c r="AV3" s="720">
        <v>2021</v>
      </c>
      <c r="AW3" s="721"/>
      <c r="AX3" s="721"/>
      <c r="AY3" s="721"/>
      <c r="AZ3" s="723" t="s">
        <v>407</v>
      </c>
      <c r="BA3" s="452"/>
      <c r="BB3" s="452"/>
      <c r="BC3" s="453"/>
    </row>
    <row r="4" spans="1:55" s="454" customFormat="1" ht="21.75" customHeight="1" thickBot="1">
      <c r="A4" s="301"/>
      <c r="B4" s="302"/>
      <c r="C4" s="400" t="s">
        <v>408</v>
      </c>
      <c r="D4" s="401" t="s">
        <v>409</v>
      </c>
      <c r="E4" s="401" t="s">
        <v>410</v>
      </c>
      <c r="F4" s="401" t="s">
        <v>411</v>
      </c>
      <c r="G4" s="724"/>
      <c r="H4" s="455" t="s">
        <v>408</v>
      </c>
      <c r="I4" s="456" t="s">
        <v>409</v>
      </c>
      <c r="J4" s="456" t="s">
        <v>410</v>
      </c>
      <c r="K4" s="456" t="s">
        <v>411</v>
      </c>
      <c r="L4" s="724"/>
      <c r="M4" s="455" t="s">
        <v>408</v>
      </c>
      <c r="N4" s="456" t="s">
        <v>409</v>
      </c>
      <c r="O4" s="456" t="s">
        <v>410</v>
      </c>
      <c r="P4" s="456" t="s">
        <v>411</v>
      </c>
      <c r="Q4" s="724"/>
      <c r="R4" s="455" t="s">
        <v>408</v>
      </c>
      <c r="S4" s="456" t="s">
        <v>409</v>
      </c>
      <c r="T4" s="456" t="s">
        <v>410</v>
      </c>
      <c r="U4" s="456" t="s">
        <v>411</v>
      </c>
      <c r="V4" s="724"/>
      <c r="W4" s="455" t="s">
        <v>408</v>
      </c>
      <c r="X4" s="401" t="s">
        <v>409</v>
      </c>
      <c r="Y4" s="401" t="s">
        <v>410</v>
      </c>
      <c r="Z4" s="456" t="s">
        <v>411</v>
      </c>
      <c r="AA4" s="724"/>
      <c r="AB4" s="455" t="s">
        <v>408</v>
      </c>
      <c r="AC4" s="401" t="s">
        <v>409</v>
      </c>
      <c r="AD4" s="401" t="s">
        <v>410</v>
      </c>
      <c r="AE4" s="456" t="s">
        <v>411</v>
      </c>
      <c r="AF4" s="724"/>
      <c r="AG4" s="455" t="s">
        <v>408</v>
      </c>
      <c r="AH4" s="401" t="s">
        <v>537</v>
      </c>
      <c r="AI4" s="401" t="s">
        <v>538</v>
      </c>
      <c r="AJ4" s="456" t="s">
        <v>539</v>
      </c>
      <c r="AK4" s="724"/>
      <c r="AL4" s="455" t="s">
        <v>540</v>
      </c>
      <c r="AM4" s="401" t="s">
        <v>537</v>
      </c>
      <c r="AN4" s="401" t="s">
        <v>538</v>
      </c>
      <c r="AO4" s="456" t="s">
        <v>539</v>
      </c>
      <c r="AP4" s="724"/>
      <c r="AQ4" s="455" t="s">
        <v>540</v>
      </c>
      <c r="AR4" s="401" t="s">
        <v>537</v>
      </c>
      <c r="AS4" s="401" t="s">
        <v>538</v>
      </c>
      <c r="AT4" s="456" t="s">
        <v>539</v>
      </c>
      <c r="AU4" s="724"/>
      <c r="AV4" s="455" t="s">
        <v>540</v>
      </c>
      <c r="AW4" s="401" t="s">
        <v>537</v>
      </c>
      <c r="AX4" s="401" t="s">
        <v>538</v>
      </c>
      <c r="AY4" s="456" t="s">
        <v>539</v>
      </c>
      <c r="AZ4" s="724"/>
      <c r="BA4" s="452"/>
      <c r="BB4" s="452"/>
      <c r="BC4" s="453"/>
    </row>
    <row r="5" spans="1:55" s="74" customFormat="1" ht="20.100000000000001" customHeight="1" thickBot="1">
      <c r="A5" s="289" t="s">
        <v>532</v>
      </c>
      <c r="B5" s="289" t="s">
        <v>533</v>
      </c>
      <c r="C5" s="403" t="s">
        <v>412</v>
      </c>
      <c r="D5" s="404" t="s">
        <v>412</v>
      </c>
      <c r="E5" s="404" t="s">
        <v>412</v>
      </c>
      <c r="F5" s="404" t="s">
        <v>412</v>
      </c>
      <c r="G5" s="405" t="s">
        <v>412</v>
      </c>
      <c r="H5" s="407">
        <f t="shared" ref="H5:AJ5" si="0">H7+H24</f>
        <v>16348336</v>
      </c>
      <c r="I5" s="408">
        <f t="shared" si="0"/>
        <v>16434266</v>
      </c>
      <c r="J5" s="408">
        <f t="shared" si="0"/>
        <v>16627551</v>
      </c>
      <c r="K5" s="408">
        <f t="shared" si="0"/>
        <v>16447334</v>
      </c>
      <c r="L5" s="445">
        <f t="shared" si="0"/>
        <v>16447334</v>
      </c>
      <c r="M5" s="407">
        <f t="shared" si="0"/>
        <v>16333003</v>
      </c>
      <c r="N5" s="408">
        <f t="shared" si="0"/>
        <v>16250497</v>
      </c>
      <c r="O5" s="408">
        <f t="shared" si="0"/>
        <v>16449992</v>
      </c>
      <c r="P5" s="408">
        <f t="shared" si="0"/>
        <v>16482031</v>
      </c>
      <c r="Q5" s="445">
        <f t="shared" si="0"/>
        <v>16482031</v>
      </c>
      <c r="R5" s="407">
        <f t="shared" si="0"/>
        <v>16429469</v>
      </c>
      <c r="S5" s="408">
        <f t="shared" si="0"/>
        <v>16349090</v>
      </c>
      <c r="T5" s="408">
        <f t="shared" si="0"/>
        <v>16395514</v>
      </c>
      <c r="U5" s="408">
        <f t="shared" si="0"/>
        <v>16469696</v>
      </c>
      <c r="V5" s="445">
        <f t="shared" si="0"/>
        <v>16469696</v>
      </c>
      <c r="W5" s="407">
        <f t="shared" si="0"/>
        <v>16531833</v>
      </c>
      <c r="X5" s="408">
        <f t="shared" si="0"/>
        <v>16711541</v>
      </c>
      <c r="Y5" s="408">
        <f t="shared" si="0"/>
        <v>16545653</v>
      </c>
      <c r="Z5" s="408">
        <f t="shared" si="0"/>
        <v>16524936</v>
      </c>
      <c r="AA5" s="445">
        <f t="shared" si="0"/>
        <v>16524936</v>
      </c>
      <c r="AB5" s="407">
        <f t="shared" si="0"/>
        <v>16216128</v>
      </c>
      <c r="AC5" s="408">
        <f t="shared" si="0"/>
        <v>16273840</v>
      </c>
      <c r="AD5" s="408">
        <f t="shared" si="0"/>
        <v>16410325</v>
      </c>
      <c r="AE5" s="408">
        <f t="shared" si="0"/>
        <v>16522597</v>
      </c>
      <c r="AF5" s="445">
        <f t="shared" si="0"/>
        <v>16522597</v>
      </c>
      <c r="AG5" s="407">
        <f>AG7+AG24</f>
        <v>16579337</v>
      </c>
      <c r="AH5" s="408">
        <f t="shared" si="0"/>
        <v>16698622</v>
      </c>
      <c r="AI5" s="408">
        <f>AI7+AI24</f>
        <v>16851153</v>
      </c>
      <c r="AJ5" s="408">
        <f t="shared" si="0"/>
        <v>16906133</v>
      </c>
      <c r="AK5" s="445">
        <f>AK7+AK24</f>
        <v>16906133</v>
      </c>
      <c r="AL5" s="407">
        <f t="shared" ref="AL5:AT5" si="1">AL7+AL24</f>
        <v>16973770</v>
      </c>
      <c r="AM5" s="408">
        <f t="shared" si="1"/>
        <v>17058921</v>
      </c>
      <c r="AN5" s="408">
        <f t="shared" si="1"/>
        <v>17266759</v>
      </c>
      <c r="AO5" s="408">
        <f t="shared" si="1"/>
        <v>17386252</v>
      </c>
      <c r="AP5" s="445">
        <f t="shared" si="1"/>
        <v>17386252</v>
      </c>
      <c r="AQ5" s="407">
        <f t="shared" si="1"/>
        <v>17435613</v>
      </c>
      <c r="AR5" s="408">
        <f>AR7+AR24</f>
        <v>17504720</v>
      </c>
      <c r="AS5" s="408">
        <f t="shared" si="1"/>
        <v>17840155</v>
      </c>
      <c r="AT5" s="408">
        <f t="shared" si="1"/>
        <v>17989701</v>
      </c>
      <c r="AU5" s="445">
        <f>AU7+AU24</f>
        <v>17989701</v>
      </c>
      <c r="AV5" s="407">
        <f t="shared" ref="AV5" si="2">AV7+AV24</f>
        <v>18094192</v>
      </c>
      <c r="AW5" s="408">
        <f>AW7+AW24</f>
        <v>18022621</v>
      </c>
      <c r="AX5" s="408">
        <f t="shared" ref="AX5:AY5" si="3">AX7+AX24</f>
        <v>0</v>
      </c>
      <c r="AY5" s="408">
        <f t="shared" si="3"/>
        <v>0</v>
      </c>
      <c r="AZ5" s="445">
        <f>AZ7+AZ24</f>
        <v>18022621</v>
      </c>
    </row>
    <row r="6" spans="1:55" s="402" customFormat="1" ht="20.100000000000001" customHeight="1" thickBot="1">
      <c r="A6" s="299" t="s">
        <v>413</v>
      </c>
      <c r="B6" s="299" t="s">
        <v>414</v>
      </c>
      <c r="C6" s="424"/>
      <c r="D6" s="425"/>
      <c r="E6" s="425"/>
      <c r="F6" s="425"/>
      <c r="G6" s="426"/>
      <c r="H6" s="427"/>
      <c r="I6" s="425"/>
      <c r="J6" s="425"/>
      <c r="K6" s="425"/>
      <c r="L6" s="426"/>
      <c r="M6" s="428"/>
      <c r="N6" s="425"/>
      <c r="O6" s="425"/>
      <c r="P6" s="425"/>
      <c r="Q6" s="426"/>
      <c r="R6" s="428"/>
      <c r="S6" s="425"/>
      <c r="T6" s="425"/>
      <c r="U6" s="425"/>
      <c r="V6" s="426"/>
      <c r="W6" s="428"/>
      <c r="X6" s="429"/>
      <c r="Y6" s="429"/>
      <c r="Z6" s="425"/>
      <c r="AA6" s="426"/>
      <c r="AB6" s="428"/>
      <c r="AC6" s="429"/>
      <c r="AD6" s="429"/>
      <c r="AE6" s="425"/>
      <c r="AF6" s="426"/>
      <c r="AG6" s="429"/>
      <c r="AH6" s="429"/>
      <c r="AI6" s="429"/>
      <c r="AJ6" s="429"/>
      <c r="AK6" s="426"/>
      <c r="AL6" s="429"/>
      <c r="AM6" s="429"/>
      <c r="AN6" s="429"/>
      <c r="AO6" s="429"/>
      <c r="AP6" s="426"/>
      <c r="AQ6" s="429"/>
      <c r="AR6" s="429"/>
      <c r="AS6" s="429"/>
      <c r="AT6" s="429"/>
      <c r="AU6" s="426"/>
      <c r="AV6" s="429"/>
      <c r="AW6" s="429"/>
      <c r="AX6" s="429"/>
      <c r="AY6" s="429"/>
      <c r="AZ6" s="426"/>
    </row>
    <row r="7" spans="1:55" s="375" customFormat="1" ht="20.100000000000001" customHeight="1" thickBot="1">
      <c r="A7" s="412" t="s">
        <v>415</v>
      </c>
      <c r="B7" s="413" t="s">
        <v>416</v>
      </c>
      <c r="C7" s="414">
        <f>C8+C10+C11</f>
        <v>11532547</v>
      </c>
      <c r="D7" s="415">
        <f t="shared" ref="D7:N7" si="4">D8+D10+D11</f>
        <v>11516833</v>
      </c>
      <c r="E7" s="415">
        <f t="shared" si="4"/>
        <v>11605099</v>
      </c>
      <c r="F7" s="415">
        <f t="shared" si="4"/>
        <v>11735100</v>
      </c>
      <c r="G7" s="423">
        <f>SUM(G8,G10:G11)</f>
        <v>11735100</v>
      </c>
      <c r="H7" s="414">
        <f t="shared" si="4"/>
        <v>11799951</v>
      </c>
      <c r="I7" s="415">
        <f t="shared" si="4"/>
        <v>11868947</v>
      </c>
      <c r="J7" s="415">
        <f t="shared" si="4"/>
        <v>11908422</v>
      </c>
      <c r="K7" s="415">
        <f t="shared" si="4"/>
        <v>11978807</v>
      </c>
      <c r="L7" s="423">
        <f>SUM(L8,L10:L11)</f>
        <v>11978807</v>
      </c>
      <c r="M7" s="414">
        <f t="shared" si="4"/>
        <v>11982678</v>
      </c>
      <c r="N7" s="415">
        <f t="shared" si="4"/>
        <v>12023369</v>
      </c>
      <c r="O7" s="415">
        <f>O8+O10+O11</f>
        <v>12230798</v>
      </c>
      <c r="P7" s="415">
        <f>P8+P10+P11</f>
        <v>12347828</v>
      </c>
      <c r="Q7" s="423">
        <f>Q8+Q10+Q11</f>
        <v>12347828</v>
      </c>
      <c r="R7" s="414">
        <f t="shared" ref="R7:AJ7" si="5">R8+R10+R11</f>
        <v>12394712</v>
      </c>
      <c r="S7" s="415">
        <f t="shared" si="5"/>
        <v>12377021</v>
      </c>
      <c r="T7" s="415">
        <f t="shared" si="5"/>
        <v>12418707</v>
      </c>
      <c r="U7" s="415">
        <f t="shared" si="5"/>
        <v>12614703</v>
      </c>
      <c r="V7" s="423">
        <f t="shared" si="5"/>
        <v>12614703</v>
      </c>
      <c r="W7" s="414">
        <f t="shared" si="5"/>
        <v>12744166</v>
      </c>
      <c r="X7" s="415">
        <f t="shared" si="5"/>
        <v>12880725</v>
      </c>
      <c r="Y7" s="415">
        <f t="shared" si="5"/>
        <v>13017749</v>
      </c>
      <c r="Z7" s="415">
        <f t="shared" si="5"/>
        <v>13254598</v>
      </c>
      <c r="AA7" s="423">
        <f t="shared" si="5"/>
        <v>13254598</v>
      </c>
      <c r="AB7" s="414">
        <f t="shared" si="5"/>
        <v>13337038</v>
      </c>
      <c r="AC7" s="415">
        <f t="shared" si="5"/>
        <v>13419539</v>
      </c>
      <c r="AD7" s="415">
        <f t="shared" si="5"/>
        <v>13530164</v>
      </c>
      <c r="AE7" s="415">
        <f t="shared" si="5"/>
        <v>13685044</v>
      </c>
      <c r="AF7" s="423">
        <f t="shared" si="5"/>
        <v>13685044</v>
      </c>
      <c r="AG7" s="415">
        <f t="shared" si="5"/>
        <v>13796153</v>
      </c>
      <c r="AH7" s="415">
        <v>13929804</v>
      </c>
      <c r="AI7" s="415">
        <v>14057045</v>
      </c>
      <c r="AJ7" s="415">
        <f t="shared" si="5"/>
        <v>14259264</v>
      </c>
      <c r="AK7" s="423">
        <f>AK8+AK10+AK11</f>
        <v>14259264</v>
      </c>
      <c r="AL7" s="415">
        <f>SUM(AL8,AL10:AL11)</f>
        <v>14330995</v>
      </c>
      <c r="AM7" s="415">
        <f t="shared" ref="AM7:AP7" si="6">SUM(AM8,AM10:AM11)</f>
        <v>14451610</v>
      </c>
      <c r="AN7" s="415">
        <f t="shared" si="6"/>
        <v>14587869</v>
      </c>
      <c r="AO7" s="415">
        <f t="shared" si="6"/>
        <v>14728758</v>
      </c>
      <c r="AP7" s="423">
        <f t="shared" si="6"/>
        <v>14728758</v>
      </c>
      <c r="AQ7" s="415">
        <f>SUM(AQ8,AQ10:AQ11)</f>
        <v>14796975</v>
      </c>
      <c r="AR7" s="415">
        <f t="shared" ref="AR7:AT7" si="7">SUM(AR8,AR10:AR11)</f>
        <v>14979496</v>
      </c>
      <c r="AS7" s="415">
        <f t="shared" si="7"/>
        <v>15168916</v>
      </c>
      <c r="AT7" s="415">
        <f t="shared" si="7"/>
        <v>15371888</v>
      </c>
      <c r="AU7" s="423">
        <f>SUM(AU8,AU10:AU11)</f>
        <v>15371888</v>
      </c>
      <c r="AV7" s="415">
        <f>SUM(AV8,AV10:AV11)</f>
        <v>15358097</v>
      </c>
      <c r="AW7" s="415">
        <f t="shared" ref="AW7:AY7" si="8">SUM(AW8,AW10:AW11)</f>
        <v>15426731</v>
      </c>
      <c r="AX7" s="415">
        <f t="shared" si="8"/>
        <v>0</v>
      </c>
      <c r="AY7" s="415">
        <f t="shared" si="8"/>
        <v>0</v>
      </c>
      <c r="AZ7" s="423">
        <f>AW7</f>
        <v>15426731</v>
      </c>
      <c r="BA7" s="377"/>
    </row>
    <row r="8" spans="1:55" s="375" customFormat="1" ht="20.100000000000001" customHeight="1">
      <c r="A8" s="378" t="s">
        <v>417</v>
      </c>
      <c r="B8" s="378" t="s">
        <v>418</v>
      </c>
      <c r="C8" s="376">
        <v>3885022</v>
      </c>
      <c r="D8" s="99">
        <v>3868733</v>
      </c>
      <c r="E8" s="99">
        <v>3921673</v>
      </c>
      <c r="F8" s="99">
        <v>3994875</v>
      </c>
      <c r="G8" s="422">
        <f>F8</f>
        <v>3994875</v>
      </c>
      <c r="H8" s="376">
        <v>4047592</v>
      </c>
      <c r="I8" s="99">
        <v>4127560</v>
      </c>
      <c r="J8" s="99">
        <v>4160343</v>
      </c>
      <c r="K8" s="99">
        <v>4212323</v>
      </c>
      <c r="L8" s="422">
        <f>K8</f>
        <v>4212323</v>
      </c>
      <c r="M8" s="376">
        <v>4236986</v>
      </c>
      <c r="N8" s="99">
        <v>4255544</v>
      </c>
      <c r="O8" s="379">
        <v>4344773</v>
      </c>
      <c r="P8" s="99">
        <v>4391702</v>
      </c>
      <c r="Q8" s="422">
        <v>4391702</v>
      </c>
      <c r="R8" s="376">
        <v>4405464</v>
      </c>
      <c r="S8" s="99">
        <v>4374517</v>
      </c>
      <c r="T8" s="99">
        <v>4396361</v>
      </c>
      <c r="U8" s="99">
        <v>4503320</v>
      </c>
      <c r="V8" s="422">
        <f t="shared" ref="V8:V12" si="9">U8</f>
        <v>4503320</v>
      </c>
      <c r="W8" s="376">
        <v>4560267</v>
      </c>
      <c r="X8" s="99">
        <v>4632246</v>
      </c>
      <c r="Y8" s="99">
        <v>4679114</v>
      </c>
      <c r="Z8" s="99">
        <v>4766429</v>
      </c>
      <c r="AA8" s="422">
        <f t="shared" ref="AA8:AA12" si="10">Z8</f>
        <v>4766429</v>
      </c>
      <c r="AB8" s="376">
        <v>4785947</v>
      </c>
      <c r="AC8" s="99">
        <v>4835534</v>
      </c>
      <c r="AD8" s="99">
        <v>4882505</v>
      </c>
      <c r="AE8" s="99">
        <v>4942640</v>
      </c>
      <c r="AF8" s="422">
        <f t="shared" ref="AF8:AF12" si="11">AE8</f>
        <v>4942640</v>
      </c>
      <c r="AG8" s="99">
        <v>4984391</v>
      </c>
      <c r="AH8" s="99">
        <v>5027520</v>
      </c>
      <c r="AI8" s="99">
        <v>5038210</v>
      </c>
      <c r="AJ8" s="99">
        <v>5098917</v>
      </c>
      <c r="AK8" s="422">
        <v>5098917</v>
      </c>
      <c r="AL8" s="99">
        <v>5077221</v>
      </c>
      <c r="AM8" s="99">
        <v>5058740</v>
      </c>
      <c r="AN8" s="99">
        <v>5033398</v>
      </c>
      <c r="AO8" s="99">
        <v>5038448</v>
      </c>
      <c r="AP8" s="422">
        <f>AO8</f>
        <v>5038448</v>
      </c>
      <c r="AQ8" s="99">
        <v>4992356</v>
      </c>
      <c r="AR8" s="99">
        <v>5000734</v>
      </c>
      <c r="AS8" s="99">
        <v>5010376</v>
      </c>
      <c r="AT8" s="99">
        <v>5010358</v>
      </c>
      <c r="AU8" s="422">
        <f>AT8</f>
        <v>5010358</v>
      </c>
      <c r="AV8" s="99">
        <v>4985621</v>
      </c>
      <c r="AW8" s="99">
        <v>4961196</v>
      </c>
      <c r="AX8" s="99"/>
      <c r="AY8" s="98"/>
      <c r="AZ8" s="422">
        <f t="shared" ref="AZ8:AZ12" si="12">AW8</f>
        <v>4961196</v>
      </c>
      <c r="BA8" s="377"/>
    </row>
    <row r="9" spans="1:55" s="375" customFormat="1" ht="20.100000000000001" customHeight="1">
      <c r="A9" s="380" t="s">
        <v>419</v>
      </c>
      <c r="B9" s="380" t="s">
        <v>419</v>
      </c>
      <c r="C9" s="381">
        <v>394001</v>
      </c>
      <c r="D9" s="109">
        <v>416027</v>
      </c>
      <c r="E9" s="109">
        <v>470578</v>
      </c>
      <c r="F9" s="109">
        <v>510617</v>
      </c>
      <c r="G9" s="444">
        <f t="shared" ref="G9:G11" si="13">F9</f>
        <v>510617</v>
      </c>
      <c r="H9" s="381">
        <v>559997</v>
      </c>
      <c r="I9" s="109">
        <v>633475</v>
      </c>
      <c r="J9" s="109">
        <v>680316</v>
      </c>
      <c r="K9" s="109">
        <v>719935</v>
      </c>
      <c r="L9" s="444">
        <f>K9</f>
        <v>719935</v>
      </c>
      <c r="M9" s="381">
        <v>749319</v>
      </c>
      <c r="N9" s="109">
        <v>771481</v>
      </c>
      <c r="O9" s="382">
        <v>806064</v>
      </c>
      <c r="P9" s="109">
        <v>844809</v>
      </c>
      <c r="Q9" s="444">
        <v>844809</v>
      </c>
      <c r="R9" s="381">
        <v>872628</v>
      </c>
      <c r="S9" s="109">
        <v>886305</v>
      </c>
      <c r="T9" s="109">
        <v>901271</v>
      </c>
      <c r="U9" s="109">
        <v>936307</v>
      </c>
      <c r="V9" s="444">
        <f t="shared" si="9"/>
        <v>936307</v>
      </c>
      <c r="W9" s="381">
        <v>957952</v>
      </c>
      <c r="X9" s="109">
        <v>972771</v>
      </c>
      <c r="Y9" s="109">
        <v>982068</v>
      </c>
      <c r="Z9" s="109">
        <v>1021720</v>
      </c>
      <c r="AA9" s="444">
        <f t="shared" si="10"/>
        <v>1021720</v>
      </c>
      <c r="AB9" s="381">
        <v>1031294</v>
      </c>
      <c r="AC9" s="109">
        <v>1058982</v>
      </c>
      <c r="AD9" s="109">
        <v>1072513</v>
      </c>
      <c r="AE9" s="109">
        <v>1099582</v>
      </c>
      <c r="AF9" s="444">
        <f t="shared" si="11"/>
        <v>1099582</v>
      </c>
      <c r="AG9" s="109">
        <v>1114833</v>
      </c>
      <c r="AH9" s="109">
        <v>1127285</v>
      </c>
      <c r="AI9" s="109">
        <v>1141820</v>
      </c>
      <c r="AJ9" s="109">
        <v>1160353</v>
      </c>
      <c r="AK9" s="444">
        <v>1160353</v>
      </c>
      <c r="AL9" s="109">
        <v>1167983</v>
      </c>
      <c r="AM9" s="109">
        <v>1173866</v>
      </c>
      <c r="AN9" s="109">
        <v>1180891</v>
      </c>
      <c r="AO9" s="109">
        <v>1192984</v>
      </c>
      <c r="AP9" s="444">
        <f t="shared" ref="AP9:AP12" si="14">AO9</f>
        <v>1192984</v>
      </c>
      <c r="AQ9" s="109">
        <v>1187199</v>
      </c>
      <c r="AR9" s="109">
        <v>1197486</v>
      </c>
      <c r="AS9" s="109">
        <v>1200561</v>
      </c>
      <c r="AT9" s="109">
        <v>1208676</v>
      </c>
      <c r="AU9" s="444">
        <f>AT9</f>
        <v>1208676</v>
      </c>
      <c r="AV9" s="109">
        <v>1206068</v>
      </c>
      <c r="AW9" s="109">
        <v>1202991</v>
      </c>
      <c r="AX9" s="109"/>
      <c r="AY9" s="109"/>
      <c r="AZ9" s="444">
        <f t="shared" si="12"/>
        <v>1202991</v>
      </c>
      <c r="BA9" s="377"/>
    </row>
    <row r="10" spans="1:55" s="375" customFormat="1" ht="20.100000000000001" customHeight="1">
      <c r="A10" s="378" t="s">
        <v>420</v>
      </c>
      <c r="B10" s="378" t="s">
        <v>421</v>
      </c>
      <c r="C10" s="376">
        <v>6985015</v>
      </c>
      <c r="D10" s="99">
        <v>6978192</v>
      </c>
      <c r="E10" s="99">
        <v>6976594</v>
      </c>
      <c r="F10" s="99">
        <v>6979590</v>
      </c>
      <c r="G10" s="422">
        <f t="shared" si="13"/>
        <v>6979590</v>
      </c>
      <c r="H10" s="376">
        <v>6941638</v>
      </c>
      <c r="I10" s="99">
        <v>6891314</v>
      </c>
      <c r="J10" s="99">
        <v>6834719</v>
      </c>
      <c r="K10" s="99">
        <v>6778675</v>
      </c>
      <c r="L10" s="422">
        <f t="shared" ref="L10:L11" si="15">K10</f>
        <v>6778675</v>
      </c>
      <c r="M10" s="376">
        <v>6713629</v>
      </c>
      <c r="N10" s="99">
        <v>6644687</v>
      </c>
      <c r="O10" s="379">
        <v>6617382</v>
      </c>
      <c r="P10" s="99">
        <v>6587915</v>
      </c>
      <c r="Q10" s="422">
        <v>6587915</v>
      </c>
      <c r="R10" s="376">
        <v>6552365</v>
      </c>
      <c r="S10" s="99">
        <v>6519311</v>
      </c>
      <c r="T10" s="99">
        <v>6505016</v>
      </c>
      <c r="U10" s="99">
        <v>6516643</v>
      </c>
      <c r="V10" s="422">
        <f t="shared" si="9"/>
        <v>6516643</v>
      </c>
      <c r="W10" s="376">
        <v>6536366</v>
      </c>
      <c r="X10" s="99">
        <v>6559223</v>
      </c>
      <c r="Y10" s="99">
        <v>6616579</v>
      </c>
      <c r="Z10" s="99">
        <v>6730427</v>
      </c>
      <c r="AA10" s="422">
        <f t="shared" si="10"/>
        <v>6730427</v>
      </c>
      <c r="AB10" s="376">
        <v>6785002</v>
      </c>
      <c r="AC10" s="99">
        <v>6810999</v>
      </c>
      <c r="AD10" s="99">
        <v>6864787</v>
      </c>
      <c r="AE10" s="99">
        <v>6932676</v>
      </c>
      <c r="AF10" s="422">
        <f t="shared" si="11"/>
        <v>6932676</v>
      </c>
      <c r="AG10" s="99">
        <v>6997850</v>
      </c>
      <c r="AH10" s="99">
        <v>7098239</v>
      </c>
      <c r="AI10" s="99">
        <v>7209240</v>
      </c>
      <c r="AJ10" s="99">
        <v>7345213</v>
      </c>
      <c r="AK10" s="422">
        <v>7345213</v>
      </c>
      <c r="AL10" s="99">
        <v>7452479</v>
      </c>
      <c r="AM10" s="99">
        <v>7597611</v>
      </c>
      <c r="AN10" s="99">
        <v>7752113</v>
      </c>
      <c r="AO10" s="99">
        <v>7894581</v>
      </c>
      <c r="AP10" s="422">
        <f t="shared" si="14"/>
        <v>7894581</v>
      </c>
      <c r="AQ10" s="99">
        <v>8016501</v>
      </c>
      <c r="AR10" s="99">
        <v>8188807</v>
      </c>
      <c r="AS10" s="99">
        <v>8366901.0000000009</v>
      </c>
      <c r="AT10" s="99">
        <v>8534841</v>
      </c>
      <c r="AU10" s="422">
        <f>AT10</f>
        <v>8534841</v>
      </c>
      <c r="AV10" s="99">
        <v>8551871</v>
      </c>
      <c r="AW10" s="99">
        <v>8649761</v>
      </c>
      <c r="AX10" s="99"/>
      <c r="AY10" s="99"/>
      <c r="AZ10" s="422">
        <f t="shared" si="12"/>
        <v>8649761</v>
      </c>
      <c r="BA10" s="377"/>
    </row>
    <row r="11" spans="1:55" s="375" customFormat="1" ht="20.100000000000001" customHeight="1" thickBot="1">
      <c r="A11" s="378" t="s">
        <v>422</v>
      </c>
      <c r="B11" s="378" t="s">
        <v>422</v>
      </c>
      <c r="C11" s="376">
        <v>662510</v>
      </c>
      <c r="D11" s="99">
        <v>669908</v>
      </c>
      <c r="E11" s="99">
        <v>706832</v>
      </c>
      <c r="F11" s="99">
        <v>760635</v>
      </c>
      <c r="G11" s="422">
        <f t="shared" si="13"/>
        <v>760635</v>
      </c>
      <c r="H11" s="376">
        <v>810721</v>
      </c>
      <c r="I11" s="99">
        <v>850073</v>
      </c>
      <c r="J11" s="99">
        <v>913360</v>
      </c>
      <c r="K11" s="99">
        <v>987809</v>
      </c>
      <c r="L11" s="422">
        <f t="shared" si="15"/>
        <v>987809</v>
      </c>
      <c r="M11" s="383">
        <v>1032063</v>
      </c>
      <c r="N11" s="100">
        <v>1123138</v>
      </c>
      <c r="O11" s="379">
        <v>1268643</v>
      </c>
      <c r="P11" s="375">
        <v>1368211</v>
      </c>
      <c r="Q11" s="422">
        <v>1368211</v>
      </c>
      <c r="R11" s="383">
        <v>1436883</v>
      </c>
      <c r="S11" s="100">
        <v>1483193</v>
      </c>
      <c r="T11" s="100">
        <v>1517330</v>
      </c>
      <c r="U11" s="99">
        <v>1594740</v>
      </c>
      <c r="V11" s="422">
        <f t="shared" si="9"/>
        <v>1594740</v>
      </c>
      <c r="W11" s="383">
        <v>1647533</v>
      </c>
      <c r="X11" s="100">
        <v>1689256</v>
      </c>
      <c r="Y11" s="100">
        <v>1722056</v>
      </c>
      <c r="Z11" s="99">
        <v>1757742</v>
      </c>
      <c r="AA11" s="422">
        <f t="shared" si="10"/>
        <v>1757742</v>
      </c>
      <c r="AB11" s="383">
        <v>1766089</v>
      </c>
      <c r="AC11" s="100">
        <v>1773006</v>
      </c>
      <c r="AD11" s="100">
        <v>1782872</v>
      </c>
      <c r="AE11" s="100">
        <v>1809728</v>
      </c>
      <c r="AF11" s="422">
        <f t="shared" si="11"/>
        <v>1809728</v>
      </c>
      <c r="AG11" s="100">
        <v>1813912</v>
      </c>
      <c r="AH11" s="100">
        <v>1804045</v>
      </c>
      <c r="AI11" s="100">
        <v>1809595</v>
      </c>
      <c r="AJ11" s="100">
        <v>1815134</v>
      </c>
      <c r="AK11" s="422">
        <v>1815134</v>
      </c>
      <c r="AL11" s="100">
        <v>1801295</v>
      </c>
      <c r="AM11" s="100">
        <v>1795259</v>
      </c>
      <c r="AN11" s="100">
        <v>1802358</v>
      </c>
      <c r="AO11" s="100">
        <v>1795729</v>
      </c>
      <c r="AP11" s="422">
        <f t="shared" si="14"/>
        <v>1795729</v>
      </c>
      <c r="AQ11" s="100">
        <v>1788118</v>
      </c>
      <c r="AR11" s="100">
        <v>1789955</v>
      </c>
      <c r="AS11" s="100">
        <v>1791639</v>
      </c>
      <c r="AT11" s="100">
        <v>1826689</v>
      </c>
      <c r="AU11" s="422">
        <f>AT11</f>
        <v>1826689</v>
      </c>
      <c r="AV11" s="100">
        <v>1820605</v>
      </c>
      <c r="AW11" s="100">
        <v>1815774</v>
      </c>
      <c r="AX11" s="100"/>
      <c r="AY11" s="100"/>
      <c r="AZ11" s="422">
        <f t="shared" si="12"/>
        <v>1815774</v>
      </c>
      <c r="BA11" s="377"/>
    </row>
    <row r="12" spans="1:55" s="375" customFormat="1" ht="20.100000000000001" customHeight="1" thickBot="1">
      <c r="A12" s="289" t="s">
        <v>423</v>
      </c>
      <c r="B12" s="289" t="s">
        <v>424</v>
      </c>
      <c r="C12" s="407">
        <v>6282300</v>
      </c>
      <c r="D12" s="408">
        <v>6264412</v>
      </c>
      <c r="E12" s="408">
        <v>6281184</v>
      </c>
      <c r="F12" s="408">
        <v>6313423</v>
      </c>
      <c r="G12" s="409">
        <f>F12</f>
        <v>6313423</v>
      </c>
      <c r="H12" s="407">
        <v>6318321</v>
      </c>
      <c r="I12" s="408">
        <v>6306877</v>
      </c>
      <c r="J12" s="408">
        <v>6285607</v>
      </c>
      <c r="K12" s="408">
        <v>6287658</v>
      </c>
      <c r="L12" s="409">
        <f>K12</f>
        <v>6287658</v>
      </c>
      <c r="M12" s="407">
        <v>6260662</v>
      </c>
      <c r="N12" s="408">
        <v>6221111</v>
      </c>
      <c r="O12" s="408">
        <v>6184775</v>
      </c>
      <c r="P12" s="408">
        <v>6137531</v>
      </c>
      <c r="Q12" s="409">
        <v>6137531</v>
      </c>
      <c r="R12" s="407">
        <v>6068839</v>
      </c>
      <c r="S12" s="408">
        <v>5990051</v>
      </c>
      <c r="T12" s="408">
        <v>5937768</v>
      </c>
      <c r="U12" s="408">
        <v>5916103</v>
      </c>
      <c r="V12" s="409">
        <f t="shared" si="9"/>
        <v>5916103</v>
      </c>
      <c r="W12" s="407">
        <v>5893225</v>
      </c>
      <c r="X12" s="408">
        <v>5862310</v>
      </c>
      <c r="Y12" s="408">
        <v>5860884</v>
      </c>
      <c r="Z12" s="408">
        <v>5882804</v>
      </c>
      <c r="AA12" s="409">
        <f t="shared" si="10"/>
        <v>5882804</v>
      </c>
      <c r="AB12" s="407">
        <v>5847401</v>
      </c>
      <c r="AC12" s="408">
        <v>5819386</v>
      </c>
      <c r="AD12" s="408">
        <v>5791841</v>
      </c>
      <c r="AE12" s="408">
        <v>5776598</v>
      </c>
      <c r="AF12" s="409">
        <f t="shared" si="11"/>
        <v>5776598</v>
      </c>
      <c r="AG12" s="407">
        <v>5743832</v>
      </c>
      <c r="AH12" s="408">
        <v>5724492</v>
      </c>
      <c r="AI12" s="408">
        <v>5712151</v>
      </c>
      <c r="AJ12" s="408">
        <v>5706147</v>
      </c>
      <c r="AK12" s="409">
        <v>5706147</v>
      </c>
      <c r="AL12" s="407">
        <v>5672790</v>
      </c>
      <c r="AM12" s="408">
        <v>5652912</v>
      </c>
      <c r="AN12" s="408">
        <v>5644291</v>
      </c>
      <c r="AO12" s="408">
        <v>5637734</v>
      </c>
      <c r="AP12" s="409">
        <f t="shared" si="14"/>
        <v>5637734</v>
      </c>
      <c r="AQ12" s="407">
        <v>5601300</v>
      </c>
      <c r="AR12" s="408">
        <v>5587104</v>
      </c>
      <c r="AS12" s="408">
        <v>5569734</v>
      </c>
      <c r="AT12" s="408">
        <v>5548417</v>
      </c>
      <c r="AU12" s="409">
        <f>AT12</f>
        <v>5548417</v>
      </c>
      <c r="AV12" s="407">
        <v>5504797</v>
      </c>
      <c r="AW12" s="408">
        <v>5472855</v>
      </c>
      <c r="AX12" s="408"/>
      <c r="AY12" s="408"/>
      <c r="AZ12" s="409">
        <f t="shared" si="12"/>
        <v>5472855</v>
      </c>
      <c r="BA12" s="377"/>
    </row>
    <row r="13" spans="1:55" s="421" customFormat="1" ht="20.100000000000001" customHeight="1" thickBot="1">
      <c r="A13" s="419" t="s">
        <v>534</v>
      </c>
      <c r="B13" s="420" t="s">
        <v>535</v>
      </c>
      <c r="C13" s="417"/>
      <c r="D13" s="418"/>
      <c r="E13" s="418"/>
      <c r="F13" s="418"/>
      <c r="G13" s="416"/>
      <c r="H13" s="417"/>
      <c r="I13" s="418"/>
      <c r="J13" s="418"/>
      <c r="K13" s="418"/>
      <c r="L13" s="416"/>
      <c r="M13" s="417"/>
      <c r="N13" s="418"/>
      <c r="O13" s="418"/>
      <c r="P13" s="418"/>
      <c r="Q13" s="416"/>
      <c r="R13" s="417"/>
      <c r="S13" s="418"/>
      <c r="T13" s="418"/>
      <c r="U13" s="418"/>
      <c r="V13" s="416"/>
      <c r="W13" s="417"/>
      <c r="X13" s="418"/>
      <c r="Y13" s="418"/>
      <c r="Z13" s="418"/>
      <c r="AA13" s="416"/>
      <c r="AB13" s="417">
        <v>80.3</v>
      </c>
      <c r="AC13" s="418">
        <v>81.2</v>
      </c>
      <c r="AD13" s="418">
        <v>80.5</v>
      </c>
      <c r="AE13" s="418">
        <v>81.900000000000006</v>
      </c>
      <c r="AF13" s="416"/>
      <c r="AG13" s="418">
        <v>81.900000000000006</v>
      </c>
      <c r="AH13" s="418">
        <v>82.9</v>
      </c>
      <c r="AI13" s="418">
        <v>84</v>
      </c>
      <c r="AJ13" s="418">
        <v>84</v>
      </c>
      <c r="AK13" s="416">
        <v>83.2</v>
      </c>
      <c r="AL13" s="418">
        <v>82.9</v>
      </c>
      <c r="AM13" s="418">
        <v>83.4</v>
      </c>
      <c r="AN13" s="418">
        <v>84.8</v>
      </c>
      <c r="AO13" s="418">
        <v>85.6</v>
      </c>
      <c r="AP13" s="416">
        <v>84.2</v>
      </c>
      <c r="AQ13" s="418">
        <v>85.4</v>
      </c>
      <c r="AR13" s="418">
        <v>86.5</v>
      </c>
      <c r="AS13" s="418">
        <v>86.9</v>
      </c>
      <c r="AT13" s="418">
        <v>89.9</v>
      </c>
      <c r="AU13" s="416">
        <v>87.2</v>
      </c>
      <c r="AV13" s="418">
        <v>90.5</v>
      </c>
      <c r="AW13" s="418">
        <v>91.427769176968681</v>
      </c>
      <c r="AX13" s="418"/>
      <c r="AY13" s="418"/>
      <c r="AZ13" s="416">
        <v>90.966018370062059</v>
      </c>
    </row>
    <row r="14" spans="1:55" s="4" customFormat="1" ht="20.100000000000001" hidden="1" customHeight="1" outlineLevel="1">
      <c r="A14" s="385" t="s">
        <v>425</v>
      </c>
      <c r="B14" s="385" t="s">
        <v>426</v>
      </c>
      <c r="C14" s="386">
        <v>92.5</v>
      </c>
      <c r="D14" s="111">
        <v>94.4</v>
      </c>
      <c r="E14" s="111">
        <v>93.8</v>
      </c>
      <c r="F14" s="111">
        <v>93.8</v>
      </c>
      <c r="G14" s="406">
        <v>93.6</v>
      </c>
      <c r="H14" s="386">
        <v>89.1</v>
      </c>
      <c r="I14" s="111">
        <v>90.3</v>
      </c>
      <c r="J14" s="111">
        <v>87.6</v>
      </c>
      <c r="K14" s="111">
        <v>87.1</v>
      </c>
      <c r="L14" s="406">
        <v>88.5</v>
      </c>
      <c r="M14" s="386">
        <v>84.8</v>
      </c>
      <c r="N14" s="111">
        <v>85.3</v>
      </c>
      <c r="O14" s="384">
        <v>86.5</v>
      </c>
      <c r="P14" s="111">
        <v>87.2</v>
      </c>
      <c r="Q14" s="406">
        <v>85.9</v>
      </c>
      <c r="R14" s="386">
        <v>85.8</v>
      </c>
      <c r="S14" s="111">
        <v>87</v>
      </c>
      <c r="T14" s="111">
        <v>88.1</v>
      </c>
      <c r="U14" s="111">
        <v>88.3</v>
      </c>
      <c r="V14" s="406">
        <v>87.3</v>
      </c>
      <c r="W14" s="386">
        <v>87</v>
      </c>
      <c r="X14" s="111">
        <v>88.4</v>
      </c>
      <c r="Y14" s="111">
        <v>88.6</v>
      </c>
      <c r="Z14" s="111">
        <v>90.7</v>
      </c>
      <c r="AA14" s="406">
        <v>88.7</v>
      </c>
      <c r="AB14" s="386">
        <v>89.1</v>
      </c>
      <c r="AC14" s="111">
        <v>89.6</v>
      </c>
      <c r="AD14" s="111">
        <v>88.4</v>
      </c>
      <c r="AE14" s="111">
        <v>89</v>
      </c>
      <c r="AF14" s="406">
        <v>89</v>
      </c>
      <c r="AG14" s="386">
        <v>88.7</v>
      </c>
      <c r="AH14" s="111">
        <v>89.6</v>
      </c>
      <c r="AI14" s="111">
        <v>90.1</v>
      </c>
      <c r="AJ14" s="111">
        <v>90.5</v>
      </c>
      <c r="AK14" s="406">
        <v>89.7</v>
      </c>
      <c r="AL14" s="386"/>
      <c r="AM14" s="111"/>
      <c r="AN14" s="111"/>
      <c r="AO14" s="111"/>
      <c r="AP14" s="406"/>
      <c r="AQ14" s="386"/>
      <c r="AR14" s="111"/>
      <c r="AS14" s="111"/>
      <c r="AT14" s="111">
        <v>6.4768102002308398E-2</v>
      </c>
      <c r="AU14" s="406"/>
      <c r="AV14" s="386"/>
      <c r="AW14" s="386">
        <v>7.00890484236706E-2</v>
      </c>
      <c r="AX14" s="111"/>
      <c r="AY14" s="111"/>
      <c r="AZ14" s="406"/>
      <c r="BA14" s="387"/>
    </row>
    <row r="15" spans="1:55" s="375" customFormat="1" ht="20.100000000000001" customHeight="1" collapsed="1">
      <c r="A15" s="388" t="s">
        <v>427</v>
      </c>
      <c r="B15" s="388" t="s">
        <v>428</v>
      </c>
      <c r="C15" s="376" t="s">
        <v>412</v>
      </c>
      <c r="D15" s="99" t="s">
        <v>412</v>
      </c>
      <c r="E15" s="99" t="s">
        <v>412</v>
      </c>
      <c r="F15" s="101">
        <v>8.4252884188563901E-2</v>
      </c>
      <c r="G15" s="410">
        <f>F15</f>
        <v>8.4252884188563901E-2</v>
      </c>
      <c r="H15" s="389">
        <v>8.6500864834109098E-2</v>
      </c>
      <c r="I15" s="101">
        <v>8.7995678097648605E-2</v>
      </c>
      <c r="J15" s="101">
        <v>8.95665783401738E-2</v>
      </c>
      <c r="K15" s="101">
        <v>9.1612274770678806E-2</v>
      </c>
      <c r="L15" s="410">
        <f>K15</f>
        <v>9.1612274770678806E-2</v>
      </c>
      <c r="M15" s="389">
        <v>9.0641340484564806E-2</v>
      </c>
      <c r="N15" s="101">
        <v>8.7627794752018207E-2</v>
      </c>
      <c r="O15" s="390">
        <f>8.8%</f>
        <v>8.8000000000000009E-2</v>
      </c>
      <c r="P15" s="101">
        <v>9.0976359886998898E-2</v>
      </c>
      <c r="Q15" s="410">
        <v>9.0999999999999998E-2</v>
      </c>
      <c r="R15" s="389">
        <v>9.5000000000000001E-2</v>
      </c>
      <c r="S15" s="101">
        <v>0.10100000000000001</v>
      </c>
      <c r="T15" s="101">
        <v>0.10199999999999999</v>
      </c>
      <c r="U15" s="101">
        <v>0.1</v>
      </c>
      <c r="V15" s="410">
        <v>0.1</v>
      </c>
      <c r="W15" s="389">
        <v>9.8000000000000004E-2</v>
      </c>
      <c r="X15" s="101">
        <v>0.09</v>
      </c>
      <c r="Y15" s="101">
        <v>8.5000000000000006E-2</v>
      </c>
      <c r="Z15" s="101">
        <v>8.3000000000000004E-2</v>
      </c>
      <c r="AA15" s="410">
        <v>8.3000000000000004E-2</v>
      </c>
      <c r="AB15" s="389">
        <v>8.5000000000000006E-2</v>
      </c>
      <c r="AC15" s="101">
        <v>8.5999999999999993E-2</v>
      </c>
      <c r="AD15" s="101">
        <v>8.7999999999999995E-2</v>
      </c>
      <c r="AE15" s="101">
        <v>8.7999999999999995E-2</v>
      </c>
      <c r="AF15" s="410">
        <v>8.7999999999999995E-2</v>
      </c>
      <c r="AG15" s="101">
        <v>8.5000000000000006E-2</v>
      </c>
      <c r="AH15" s="101">
        <v>8.3000000000000004E-2</v>
      </c>
      <c r="AI15" s="101">
        <v>7.9000000000000001E-2</v>
      </c>
      <c r="AJ15" s="101">
        <v>7.5999999999999998E-2</v>
      </c>
      <c r="AK15" s="410">
        <v>7.5999999999999998E-2</v>
      </c>
      <c r="AL15" s="101">
        <v>7.1999999999999995E-2</v>
      </c>
      <c r="AM15" s="101">
        <v>7.0000000000000007E-2</v>
      </c>
      <c r="AN15" s="101">
        <v>6.8000000000000005E-2</v>
      </c>
      <c r="AO15" s="101">
        <v>6.4000000000000001E-2</v>
      </c>
      <c r="AP15" s="410">
        <f>AO15:AO16</f>
        <v>6.4000000000000001E-2</v>
      </c>
      <c r="AQ15" s="101">
        <v>6.6000000000000003E-2</v>
      </c>
      <c r="AR15" s="101">
        <v>6.4000000000000001E-2</v>
      </c>
      <c r="AS15" s="101">
        <v>6.0999999999999999E-2</v>
      </c>
      <c r="AT15" s="101">
        <v>6.5000000000000002E-2</v>
      </c>
      <c r="AU15" s="410">
        <f>AT15</f>
        <v>6.5000000000000002E-2</v>
      </c>
      <c r="AV15" s="101">
        <v>6.7000000000000004E-2</v>
      </c>
      <c r="AW15" s="101">
        <v>7.00890484236706E-2</v>
      </c>
      <c r="AX15" s="101"/>
      <c r="AY15" s="101"/>
      <c r="AZ15" s="410">
        <f>AW15</f>
        <v>7.00890484236706E-2</v>
      </c>
      <c r="BA15" s="377"/>
    </row>
    <row r="16" spans="1:55" s="375" customFormat="1" ht="20.100000000000001" customHeight="1" thickBot="1">
      <c r="A16" s="388" t="s">
        <v>429</v>
      </c>
      <c r="B16" s="388" t="s">
        <v>430</v>
      </c>
      <c r="C16" s="438">
        <f t="shared" ref="C16:N16" si="16">C7/C12</f>
        <v>1.8357205163713926</v>
      </c>
      <c r="D16" s="439">
        <f t="shared" si="16"/>
        <v>1.838453952262399</v>
      </c>
      <c r="E16" s="439">
        <f t="shared" si="16"/>
        <v>1.8475973638091163</v>
      </c>
      <c r="F16" s="439">
        <f t="shared" si="16"/>
        <v>1.858753959619053</v>
      </c>
      <c r="G16" s="411">
        <f t="shared" si="16"/>
        <v>1.858753959619053</v>
      </c>
      <c r="H16" s="438">
        <f t="shared" si="16"/>
        <v>1.8675770034475931</v>
      </c>
      <c r="I16" s="439">
        <f t="shared" si="16"/>
        <v>1.8819055770391591</v>
      </c>
      <c r="J16" s="439">
        <f t="shared" si="16"/>
        <v>1.8945540184106324</v>
      </c>
      <c r="K16" s="439">
        <f t="shared" si="16"/>
        <v>1.9051301772456453</v>
      </c>
      <c r="L16" s="411">
        <f t="shared" si="16"/>
        <v>1.9051301772456453</v>
      </c>
      <c r="M16" s="438">
        <f t="shared" si="16"/>
        <v>1.9139634115369908</v>
      </c>
      <c r="N16" s="439">
        <f t="shared" si="16"/>
        <v>1.9326723152825918</v>
      </c>
      <c r="O16" s="440">
        <v>1.98</v>
      </c>
      <c r="P16" s="439">
        <v>2.0099999999999998</v>
      </c>
      <c r="Q16" s="411">
        <v>2.0099999999999998</v>
      </c>
      <c r="R16" s="438">
        <f>R7/R12</f>
        <v>2.0423530760990696</v>
      </c>
      <c r="S16" s="439">
        <v>2.0699999999999998</v>
      </c>
      <c r="T16" s="439">
        <v>2.09</v>
      </c>
      <c r="U16" s="439">
        <v>2.13</v>
      </c>
      <c r="V16" s="411">
        <v>2.13</v>
      </c>
      <c r="W16" s="438">
        <v>2.16</v>
      </c>
      <c r="X16" s="439">
        <v>2.2000000000000002</v>
      </c>
      <c r="Y16" s="439">
        <v>2.2200000000000002</v>
      </c>
      <c r="Z16" s="439">
        <v>2.25</v>
      </c>
      <c r="AA16" s="411">
        <f>Z16</f>
        <v>2.25</v>
      </c>
      <c r="AB16" s="438">
        <v>2.2799999999999998</v>
      </c>
      <c r="AC16" s="439">
        <v>2.31</v>
      </c>
      <c r="AD16" s="439">
        <v>2.34</v>
      </c>
      <c r="AE16" s="439">
        <v>2.37</v>
      </c>
      <c r="AF16" s="411">
        <v>2.37</v>
      </c>
      <c r="AG16" s="439">
        <v>2.4</v>
      </c>
      <c r="AH16" s="439">
        <v>2.4300000000000002</v>
      </c>
      <c r="AI16" s="439">
        <v>2.46</v>
      </c>
      <c r="AJ16" s="439">
        <v>2.5</v>
      </c>
      <c r="AK16" s="411">
        <v>2.5</v>
      </c>
      <c r="AL16" s="439">
        <v>2.5299999999999998</v>
      </c>
      <c r="AM16" s="439">
        <v>2.56</v>
      </c>
      <c r="AN16" s="439">
        <v>2.58</v>
      </c>
      <c r="AO16" s="439">
        <v>2.61</v>
      </c>
      <c r="AP16" s="411">
        <f>AO16</f>
        <v>2.61</v>
      </c>
      <c r="AQ16" s="439">
        <v>2.64</v>
      </c>
      <c r="AR16" s="439">
        <v>2.68</v>
      </c>
      <c r="AS16" s="439">
        <v>2.72</v>
      </c>
      <c r="AT16" s="439">
        <v>2.77</v>
      </c>
      <c r="AU16" s="411">
        <f>AT16</f>
        <v>2.77</v>
      </c>
      <c r="AV16" s="439">
        <v>2.79</v>
      </c>
      <c r="AW16" s="439">
        <v>2.8187721034085502</v>
      </c>
      <c r="AX16" s="439"/>
      <c r="AY16" s="439"/>
      <c r="AZ16" s="411">
        <f>AW16</f>
        <v>2.8187721034085502</v>
      </c>
      <c r="BA16" s="377"/>
    </row>
    <row r="17" spans="1:53" s="375" customFormat="1" ht="20.100000000000001" customHeight="1" thickBot="1">
      <c r="A17" s="412" t="s">
        <v>431</v>
      </c>
      <c r="B17" s="413" t="s">
        <v>432</v>
      </c>
      <c r="C17" s="441">
        <f>C18+C20+C21</f>
        <v>11497022</v>
      </c>
      <c r="D17" s="442">
        <f t="shared" ref="D17:N17" si="17">D18+D20+D21</f>
        <v>11521707</v>
      </c>
      <c r="E17" s="442">
        <f t="shared" si="17"/>
        <v>11558288</v>
      </c>
      <c r="F17" s="442">
        <f t="shared" si="17"/>
        <v>11659474</v>
      </c>
      <c r="G17" s="443">
        <f t="shared" si="17"/>
        <v>11559122.75</v>
      </c>
      <c r="H17" s="441">
        <f t="shared" si="17"/>
        <v>11772318</v>
      </c>
      <c r="I17" s="442">
        <f t="shared" si="17"/>
        <v>11846507</v>
      </c>
      <c r="J17" s="442">
        <f t="shared" si="17"/>
        <v>11884574</v>
      </c>
      <c r="K17" s="442">
        <f t="shared" si="17"/>
        <v>11924710</v>
      </c>
      <c r="L17" s="443">
        <f t="shared" si="17"/>
        <v>11857027.25</v>
      </c>
      <c r="M17" s="441">
        <f t="shared" si="17"/>
        <v>11986199</v>
      </c>
      <c r="N17" s="442">
        <f t="shared" si="17"/>
        <v>11981389</v>
      </c>
      <c r="O17" s="442">
        <f>O18+O20+O21</f>
        <v>12125363</v>
      </c>
      <c r="P17" s="442">
        <f>P18+P20+P21</f>
        <v>12272311</v>
      </c>
      <c r="Q17" s="443">
        <f>Q18+Q20+Q21</f>
        <v>12091316</v>
      </c>
      <c r="R17" s="441">
        <f t="shared" ref="R17:AJ17" si="18">R18+R20+R21</f>
        <v>12376603</v>
      </c>
      <c r="S17" s="442">
        <f t="shared" si="18"/>
        <v>12391326</v>
      </c>
      <c r="T17" s="442">
        <f t="shared" si="18"/>
        <v>12378586</v>
      </c>
      <c r="U17" s="442">
        <f t="shared" si="18"/>
        <v>12496080</v>
      </c>
      <c r="V17" s="443">
        <f t="shared" si="18"/>
        <v>12410649</v>
      </c>
      <c r="W17" s="441">
        <f t="shared" si="18"/>
        <v>12675864</v>
      </c>
      <c r="X17" s="442">
        <f t="shared" si="18"/>
        <v>12809438</v>
      </c>
      <c r="Y17" s="442">
        <f t="shared" si="18"/>
        <v>12940680</v>
      </c>
      <c r="Z17" s="442">
        <f t="shared" si="18"/>
        <v>13119033</v>
      </c>
      <c r="AA17" s="443">
        <f t="shared" si="18"/>
        <v>12886254</v>
      </c>
      <c r="AB17" s="441">
        <f t="shared" si="18"/>
        <v>13313971</v>
      </c>
      <c r="AC17" s="442">
        <f t="shared" si="18"/>
        <v>13379081</v>
      </c>
      <c r="AD17" s="442">
        <f t="shared" si="18"/>
        <v>13467835</v>
      </c>
      <c r="AE17" s="442">
        <f t="shared" si="18"/>
        <v>13596202</v>
      </c>
      <c r="AF17" s="443">
        <f t="shared" si="18"/>
        <v>13439272</v>
      </c>
      <c r="AG17" s="442">
        <f t="shared" si="18"/>
        <v>13741811</v>
      </c>
      <c r="AH17" s="442">
        <f t="shared" si="18"/>
        <v>13858205</v>
      </c>
      <c r="AI17" s="442">
        <f t="shared" si="18"/>
        <v>13995952</v>
      </c>
      <c r="AJ17" s="442">
        <f t="shared" si="18"/>
        <v>14159632</v>
      </c>
      <c r="AK17" s="443">
        <f>AK18+AK20+AK21</f>
        <v>13938900</v>
      </c>
      <c r="AL17" s="442">
        <f>AL18+AL20+AL21</f>
        <v>14283823</v>
      </c>
      <c r="AM17" s="442">
        <f t="shared" ref="AM17:AP17" si="19">AM18+AM20+AM21</f>
        <v>14381445</v>
      </c>
      <c r="AN17" s="442">
        <f t="shared" si="19"/>
        <v>14515058</v>
      </c>
      <c r="AO17" s="442">
        <f t="shared" si="19"/>
        <v>14660255</v>
      </c>
      <c r="AP17" s="446">
        <f t="shared" si="19"/>
        <v>14460145</v>
      </c>
      <c r="AQ17" s="442">
        <f>AQ18+AQ20+AQ21</f>
        <v>14774076</v>
      </c>
      <c r="AR17" s="442">
        <f t="shared" ref="AR17:AU17" si="20">AR18+AR20+AR21</f>
        <v>14867672</v>
      </c>
      <c r="AS17" s="442">
        <f t="shared" si="20"/>
        <v>15080830</v>
      </c>
      <c r="AT17" s="442">
        <f t="shared" si="20"/>
        <v>15265725</v>
      </c>
      <c r="AU17" s="446">
        <f t="shared" si="20"/>
        <v>14997076</v>
      </c>
      <c r="AV17" s="442">
        <f>AV18+AV20+AV21</f>
        <v>15350346</v>
      </c>
      <c r="AW17" s="442">
        <f t="shared" ref="AW17:AY17" si="21">AW18+AW20+AW21</f>
        <v>15390843.999999998</v>
      </c>
      <c r="AX17" s="442">
        <f t="shared" si="21"/>
        <v>0</v>
      </c>
      <c r="AY17" s="442">
        <f t="shared" si="21"/>
        <v>0</v>
      </c>
      <c r="AZ17" s="446">
        <v>15370594.916666668</v>
      </c>
      <c r="BA17" s="377"/>
    </row>
    <row r="18" spans="1:53" s="375" customFormat="1" ht="20.100000000000001" customHeight="1">
      <c r="A18" s="378" t="s">
        <v>417</v>
      </c>
      <c r="B18" s="378" t="s">
        <v>418</v>
      </c>
      <c r="C18" s="376">
        <v>3858338</v>
      </c>
      <c r="D18" s="99">
        <v>3879834</v>
      </c>
      <c r="E18" s="99">
        <v>3894623</v>
      </c>
      <c r="F18" s="99">
        <v>3955082</v>
      </c>
      <c r="G18" s="422">
        <f>AVERAGE(C18:F18)</f>
        <v>3896969.25</v>
      </c>
      <c r="H18" s="376">
        <v>4018307</v>
      </c>
      <c r="I18" s="99">
        <v>4098051</v>
      </c>
      <c r="J18" s="99">
        <v>4144131</v>
      </c>
      <c r="K18" s="99">
        <v>4175145</v>
      </c>
      <c r="L18" s="422">
        <f>AVERAGE(H18:K18)</f>
        <v>4108908.5</v>
      </c>
      <c r="M18" s="376">
        <v>4227450</v>
      </c>
      <c r="N18" s="99">
        <v>4243880</v>
      </c>
      <c r="O18" s="379">
        <v>4301558</v>
      </c>
      <c r="P18" s="99">
        <v>4361890</v>
      </c>
      <c r="Q18" s="422">
        <v>4283695</v>
      </c>
      <c r="R18" s="376">
        <v>4403541</v>
      </c>
      <c r="S18" s="99">
        <v>4397999</v>
      </c>
      <c r="T18" s="99">
        <v>4376405</v>
      </c>
      <c r="U18" s="99">
        <v>4441918</v>
      </c>
      <c r="V18" s="422">
        <v>4404966</v>
      </c>
      <c r="W18" s="376">
        <v>4532806</v>
      </c>
      <c r="X18" s="99">
        <v>4595313</v>
      </c>
      <c r="Y18" s="99">
        <v>4654591</v>
      </c>
      <c r="Z18" s="99">
        <v>4712813</v>
      </c>
      <c r="AA18" s="422">
        <v>4623881</v>
      </c>
      <c r="AB18" s="376">
        <v>4781680</v>
      </c>
      <c r="AC18" s="99">
        <v>4817543</v>
      </c>
      <c r="AD18" s="99">
        <v>4856979</v>
      </c>
      <c r="AE18" s="99">
        <v>4905839</v>
      </c>
      <c r="AF18" s="422">
        <v>4840510</v>
      </c>
      <c r="AG18" s="99">
        <v>4963830</v>
      </c>
      <c r="AH18" s="99">
        <v>5013604</v>
      </c>
      <c r="AI18" s="99">
        <v>5029344</v>
      </c>
      <c r="AJ18" s="99">
        <v>5070219</v>
      </c>
      <c r="AK18" s="422">
        <v>5019249</v>
      </c>
      <c r="AL18" s="99">
        <v>5090723</v>
      </c>
      <c r="AM18" s="99">
        <v>5066146</v>
      </c>
      <c r="AN18" s="99">
        <v>5036833</v>
      </c>
      <c r="AO18" s="99">
        <v>5039351</v>
      </c>
      <c r="AP18" s="422">
        <v>5058263</v>
      </c>
      <c r="AQ18" s="99">
        <v>5018607</v>
      </c>
      <c r="AR18" s="99">
        <v>4995884</v>
      </c>
      <c r="AS18" s="99">
        <v>5007407</v>
      </c>
      <c r="AT18" s="99">
        <v>5009102</v>
      </c>
      <c r="AU18" s="422">
        <v>5007750</v>
      </c>
      <c r="AV18" s="99">
        <v>4996954</v>
      </c>
      <c r="AW18" s="99">
        <v>4973593.833333333</v>
      </c>
      <c r="AX18" s="99"/>
      <c r="AY18" s="99"/>
      <c r="AZ18" s="422">
        <v>4985273.833333333</v>
      </c>
      <c r="BA18" s="377"/>
    </row>
    <row r="19" spans="1:53" s="375" customFormat="1" ht="20.100000000000001" customHeight="1">
      <c r="A19" s="380" t="s">
        <v>419</v>
      </c>
      <c r="B19" s="380" t="s">
        <v>419</v>
      </c>
      <c r="C19" s="381">
        <v>358652</v>
      </c>
      <c r="D19" s="109">
        <v>406943</v>
      </c>
      <c r="E19" s="109">
        <v>443743.5</v>
      </c>
      <c r="F19" s="109">
        <v>494506</v>
      </c>
      <c r="G19" s="444">
        <f>AVERAGE(C19:F19)</f>
        <v>425961.125</v>
      </c>
      <c r="H19" s="381">
        <v>535271</v>
      </c>
      <c r="I19" s="109">
        <v>600411</v>
      </c>
      <c r="J19" s="109">
        <v>658475</v>
      </c>
      <c r="K19" s="109">
        <v>697978</v>
      </c>
      <c r="L19" s="444">
        <f t="shared" ref="L19:L21" si="22">AVERAGE(H19:K19)</f>
        <v>623033.75</v>
      </c>
      <c r="M19" s="391">
        <v>736315</v>
      </c>
      <c r="N19" s="109">
        <v>759922</v>
      </c>
      <c r="O19" s="382">
        <v>787736</v>
      </c>
      <c r="P19" s="109">
        <v>822568</v>
      </c>
      <c r="Q19" s="444">
        <v>776635</v>
      </c>
      <c r="R19" s="391">
        <v>860827</v>
      </c>
      <c r="S19" s="109">
        <v>881296</v>
      </c>
      <c r="T19" s="109">
        <v>893001</v>
      </c>
      <c r="U19" s="109">
        <v>915940</v>
      </c>
      <c r="V19" s="444">
        <v>887766</v>
      </c>
      <c r="W19" s="391">
        <v>948366</v>
      </c>
      <c r="X19" s="102">
        <v>964197</v>
      </c>
      <c r="Y19" s="102">
        <v>977142</v>
      </c>
      <c r="Z19" s="109">
        <v>995820</v>
      </c>
      <c r="AA19" s="444">
        <v>971381</v>
      </c>
      <c r="AB19" s="391">
        <v>1029294</v>
      </c>
      <c r="AC19" s="99">
        <v>1051692</v>
      </c>
      <c r="AD19" s="102">
        <v>1064544</v>
      </c>
      <c r="AE19" s="102">
        <v>1082951</v>
      </c>
      <c r="AF19" s="444">
        <v>1057120</v>
      </c>
      <c r="AG19" s="102">
        <v>1108316</v>
      </c>
      <c r="AH19" s="102">
        <v>1121333</v>
      </c>
      <c r="AI19" s="102">
        <v>1134327</v>
      </c>
      <c r="AJ19" s="102">
        <v>1149795</v>
      </c>
      <c r="AK19" s="444">
        <v>1128443</v>
      </c>
      <c r="AL19" s="102">
        <v>1164591</v>
      </c>
      <c r="AM19" s="102">
        <v>1171425</v>
      </c>
      <c r="AN19" s="102">
        <v>1177222</v>
      </c>
      <c r="AO19" s="102">
        <v>1185919</v>
      </c>
      <c r="AP19" s="444">
        <v>1174789</v>
      </c>
      <c r="AQ19" s="102">
        <v>1193663</v>
      </c>
      <c r="AR19" s="102">
        <v>1193706</v>
      </c>
      <c r="AS19" s="102">
        <v>1199160</v>
      </c>
      <c r="AT19" s="102">
        <v>1203210</v>
      </c>
      <c r="AU19" s="444">
        <v>1197435</v>
      </c>
      <c r="AV19" s="102">
        <v>1207961</v>
      </c>
      <c r="AW19" s="102">
        <v>1204404.5</v>
      </c>
      <c r="AX19" s="102"/>
      <c r="AY19" s="102"/>
      <c r="AZ19" s="444">
        <v>1206182.75</v>
      </c>
      <c r="BA19" s="377"/>
    </row>
    <row r="20" spans="1:53" s="375" customFormat="1" ht="20.100000000000001" customHeight="1">
      <c r="A20" s="378" t="s">
        <v>420</v>
      </c>
      <c r="B20" s="378" t="s">
        <v>421</v>
      </c>
      <c r="C20" s="376">
        <v>6986951</v>
      </c>
      <c r="D20" s="99">
        <v>6977393</v>
      </c>
      <c r="E20" s="99">
        <v>6978772</v>
      </c>
      <c r="F20" s="99">
        <v>6974525</v>
      </c>
      <c r="G20" s="422">
        <f t="shared" ref="G20:G21" si="23">AVERAGE(C20:F20)</f>
        <v>6979410.25</v>
      </c>
      <c r="H20" s="376">
        <v>6965606</v>
      </c>
      <c r="I20" s="99">
        <v>6917102</v>
      </c>
      <c r="J20" s="99">
        <v>6862047</v>
      </c>
      <c r="K20" s="99">
        <v>6801845</v>
      </c>
      <c r="L20" s="422">
        <f t="shared" si="22"/>
        <v>6886650</v>
      </c>
      <c r="M20" s="392">
        <v>6749396</v>
      </c>
      <c r="N20" s="99">
        <v>6670820</v>
      </c>
      <c r="O20" s="379">
        <v>6628199</v>
      </c>
      <c r="P20" s="99">
        <v>6597742</v>
      </c>
      <c r="Q20" s="422">
        <v>6661539</v>
      </c>
      <c r="R20" s="392">
        <v>6570344</v>
      </c>
      <c r="S20" s="99">
        <v>6532488</v>
      </c>
      <c r="T20" s="99">
        <v>6508391</v>
      </c>
      <c r="U20" s="99">
        <v>6502872</v>
      </c>
      <c r="V20" s="422">
        <v>6528524</v>
      </c>
      <c r="W20" s="392">
        <v>6523316</v>
      </c>
      <c r="X20" s="103">
        <v>6546774</v>
      </c>
      <c r="Y20" s="103">
        <v>6579908</v>
      </c>
      <c r="Z20" s="99">
        <v>6667869</v>
      </c>
      <c r="AA20" s="422">
        <v>6579467</v>
      </c>
      <c r="AB20" s="392">
        <v>6769379</v>
      </c>
      <c r="AC20" s="99">
        <v>6790804</v>
      </c>
      <c r="AD20" s="103">
        <v>6836282</v>
      </c>
      <c r="AE20" s="103">
        <v>6894295</v>
      </c>
      <c r="AF20" s="422">
        <v>6822690</v>
      </c>
      <c r="AG20" s="103">
        <v>6963584</v>
      </c>
      <c r="AH20" s="103">
        <v>7036346</v>
      </c>
      <c r="AI20" s="103">
        <v>7161022</v>
      </c>
      <c r="AJ20" s="103">
        <v>7276732</v>
      </c>
      <c r="AK20" s="422">
        <v>7109421</v>
      </c>
      <c r="AL20" s="103">
        <v>7384746</v>
      </c>
      <c r="AM20" s="103">
        <v>7519107</v>
      </c>
      <c r="AN20" s="103">
        <v>7679532</v>
      </c>
      <c r="AO20" s="103">
        <v>7823962</v>
      </c>
      <c r="AP20" s="422">
        <v>7601837</v>
      </c>
      <c r="AQ20" s="103">
        <v>7964689</v>
      </c>
      <c r="AR20" s="103">
        <v>8082768</v>
      </c>
      <c r="AS20" s="103">
        <v>8283242</v>
      </c>
      <c r="AT20" s="103">
        <v>8452883</v>
      </c>
      <c r="AU20" s="422">
        <v>8195896</v>
      </c>
      <c r="AV20" s="103">
        <v>8529814</v>
      </c>
      <c r="AW20" s="103">
        <v>8598959</v>
      </c>
      <c r="AX20" s="103"/>
      <c r="AY20" s="103"/>
      <c r="AZ20" s="422">
        <v>8564386.333333334</v>
      </c>
      <c r="BA20" s="377"/>
    </row>
    <row r="21" spans="1:53" s="375" customFormat="1" ht="20.100000000000001" customHeight="1" thickBot="1">
      <c r="A21" s="378" t="s">
        <v>422</v>
      </c>
      <c r="B21" s="378" t="s">
        <v>422</v>
      </c>
      <c r="C21" s="376">
        <v>651733</v>
      </c>
      <c r="D21" s="99">
        <v>664480</v>
      </c>
      <c r="E21" s="99">
        <v>684893</v>
      </c>
      <c r="F21" s="99">
        <v>729867</v>
      </c>
      <c r="G21" s="422">
        <f t="shared" si="23"/>
        <v>682743.25</v>
      </c>
      <c r="H21" s="376">
        <v>788405</v>
      </c>
      <c r="I21" s="99">
        <v>831354</v>
      </c>
      <c r="J21" s="99">
        <v>878396</v>
      </c>
      <c r="K21" s="99">
        <v>947720</v>
      </c>
      <c r="L21" s="422">
        <f t="shared" si="22"/>
        <v>861468.75</v>
      </c>
      <c r="M21" s="392">
        <v>1009353</v>
      </c>
      <c r="N21" s="99">
        <v>1066689</v>
      </c>
      <c r="O21" s="379">
        <v>1195606</v>
      </c>
      <c r="P21" s="99">
        <v>1312679</v>
      </c>
      <c r="Q21" s="422">
        <v>1146082</v>
      </c>
      <c r="R21" s="392">
        <v>1402718</v>
      </c>
      <c r="S21" s="99">
        <v>1460839</v>
      </c>
      <c r="T21" s="99">
        <v>1493790</v>
      </c>
      <c r="U21" s="99">
        <v>1551290</v>
      </c>
      <c r="V21" s="422">
        <v>1477159</v>
      </c>
      <c r="W21" s="392">
        <v>1619742</v>
      </c>
      <c r="X21" s="103">
        <v>1667351</v>
      </c>
      <c r="Y21" s="103">
        <v>1706181</v>
      </c>
      <c r="Z21" s="99">
        <v>1738351</v>
      </c>
      <c r="AA21" s="422">
        <v>1682906</v>
      </c>
      <c r="AB21" s="392">
        <v>1762912</v>
      </c>
      <c r="AC21" s="99">
        <v>1770734</v>
      </c>
      <c r="AD21" s="103">
        <v>1774574</v>
      </c>
      <c r="AE21" s="103">
        <v>1796068</v>
      </c>
      <c r="AF21" s="422">
        <v>1776072</v>
      </c>
      <c r="AG21" s="103">
        <v>1814397</v>
      </c>
      <c r="AH21" s="103">
        <v>1808255</v>
      </c>
      <c r="AI21" s="103">
        <v>1805586</v>
      </c>
      <c r="AJ21" s="103">
        <v>1812681</v>
      </c>
      <c r="AK21" s="422">
        <v>1810230</v>
      </c>
      <c r="AL21" s="103">
        <v>1808354</v>
      </c>
      <c r="AM21" s="103">
        <v>1796192</v>
      </c>
      <c r="AN21" s="103">
        <v>1798693</v>
      </c>
      <c r="AO21" s="103">
        <v>1796942</v>
      </c>
      <c r="AP21" s="422">
        <v>1800045</v>
      </c>
      <c r="AQ21" s="103">
        <v>1790780</v>
      </c>
      <c r="AR21" s="103">
        <v>1789020</v>
      </c>
      <c r="AS21" s="103">
        <v>1790181</v>
      </c>
      <c r="AT21" s="103">
        <v>1803740</v>
      </c>
      <c r="AU21" s="422">
        <v>1793430</v>
      </c>
      <c r="AV21" s="103">
        <v>1823578</v>
      </c>
      <c r="AW21" s="103">
        <v>1818291.1666666667</v>
      </c>
      <c r="AX21" s="103"/>
      <c r="AY21" s="103"/>
      <c r="AZ21" s="422">
        <v>1820934.75</v>
      </c>
      <c r="BA21" s="377"/>
    </row>
    <row r="22" spans="1:53" s="375" customFormat="1" ht="20.100000000000001" customHeight="1">
      <c r="A22" s="430" t="s">
        <v>433</v>
      </c>
      <c r="B22" s="431" t="s">
        <v>434</v>
      </c>
      <c r="C22" s="432">
        <v>6288609</v>
      </c>
      <c r="D22" s="433">
        <v>6272029</v>
      </c>
      <c r="E22" s="433">
        <v>6271838</v>
      </c>
      <c r="F22" s="433">
        <v>6291791</v>
      </c>
      <c r="G22" s="434">
        <f>AVERAGE(C22:F22)</f>
        <v>6281066.75</v>
      </c>
      <c r="H22" s="432">
        <v>6316275</v>
      </c>
      <c r="I22" s="433">
        <v>6317333</v>
      </c>
      <c r="J22" s="433">
        <v>6293472</v>
      </c>
      <c r="K22" s="433">
        <v>6279979</v>
      </c>
      <c r="L22" s="434">
        <f>AVERAGE(H22:K22)</f>
        <v>6301764.75</v>
      </c>
      <c r="M22" s="432">
        <v>6274951</v>
      </c>
      <c r="N22" s="433">
        <v>6242450</v>
      </c>
      <c r="O22" s="433">
        <v>6201335</v>
      </c>
      <c r="P22" s="433">
        <v>6159902.666666667</v>
      </c>
      <c r="Q22" s="434">
        <v>6219660</v>
      </c>
      <c r="R22" s="432">
        <v>6105250</v>
      </c>
      <c r="S22" s="433">
        <v>6031638</v>
      </c>
      <c r="T22" s="433">
        <v>5960463</v>
      </c>
      <c r="U22" s="433">
        <v>5922397</v>
      </c>
      <c r="V22" s="434">
        <v>6004937</v>
      </c>
      <c r="W22" s="432">
        <v>5902526</v>
      </c>
      <c r="X22" s="433">
        <v>5876458</v>
      </c>
      <c r="Y22" s="433">
        <v>5858477</v>
      </c>
      <c r="Z22" s="433">
        <v>5868541</v>
      </c>
      <c r="AA22" s="434">
        <v>5876500</v>
      </c>
      <c r="AB22" s="432">
        <v>5872517</v>
      </c>
      <c r="AC22" s="433">
        <v>5828405</v>
      </c>
      <c r="AD22" s="433">
        <v>5803517</v>
      </c>
      <c r="AE22" s="433">
        <v>5781207</v>
      </c>
      <c r="AF22" s="434">
        <v>5821411</v>
      </c>
      <c r="AG22" s="433">
        <v>5760338</v>
      </c>
      <c r="AH22" s="433">
        <v>5732091</v>
      </c>
      <c r="AI22" s="433">
        <v>5717882</v>
      </c>
      <c r="AJ22" s="433">
        <v>5708353</v>
      </c>
      <c r="AK22" s="434">
        <v>5729666</v>
      </c>
      <c r="AL22" s="433">
        <v>5688071</v>
      </c>
      <c r="AM22" s="433">
        <v>5662168</v>
      </c>
      <c r="AN22" s="433">
        <v>5649225</v>
      </c>
      <c r="AO22" s="433">
        <v>5641301</v>
      </c>
      <c r="AP22" s="434">
        <v>5660191</v>
      </c>
      <c r="AQ22" s="433">
        <v>5625993</v>
      </c>
      <c r="AR22" s="433">
        <v>5591571</v>
      </c>
      <c r="AS22" s="433">
        <v>5579661</v>
      </c>
      <c r="AT22" s="433">
        <v>5558348</v>
      </c>
      <c r="AU22" s="434">
        <v>5588893</v>
      </c>
      <c r="AV22" s="433">
        <v>5526063</v>
      </c>
      <c r="AW22" s="433">
        <v>5487976.333333333</v>
      </c>
      <c r="AX22" s="433"/>
      <c r="AY22" s="433"/>
      <c r="AZ22" s="434">
        <v>5507019.833333333</v>
      </c>
      <c r="BA22" s="377"/>
    </row>
    <row r="23" spans="1:53" s="437" customFormat="1" ht="20.100000000000001" customHeight="1" thickBot="1">
      <c r="A23" s="435" t="s">
        <v>435</v>
      </c>
      <c r="B23" s="435" t="s">
        <v>436</v>
      </c>
      <c r="C23" s="424"/>
      <c r="D23" s="425"/>
      <c r="E23" s="425"/>
      <c r="F23" s="425"/>
      <c r="G23" s="436"/>
      <c r="H23" s="424"/>
      <c r="I23" s="425"/>
      <c r="J23" s="425"/>
      <c r="K23" s="425"/>
      <c r="L23" s="436"/>
      <c r="M23" s="428"/>
      <c r="N23" s="425"/>
      <c r="O23" s="425"/>
      <c r="P23" s="425"/>
      <c r="Q23" s="436"/>
      <c r="R23" s="428"/>
      <c r="S23" s="425"/>
      <c r="T23" s="425"/>
      <c r="U23" s="425"/>
      <c r="V23" s="436"/>
      <c r="W23" s="428"/>
      <c r="X23" s="429"/>
      <c r="Y23" s="429"/>
      <c r="Z23" s="425"/>
      <c r="AA23" s="436"/>
      <c r="AB23" s="428"/>
      <c r="AC23" s="429"/>
      <c r="AD23" s="429"/>
      <c r="AE23" s="425"/>
      <c r="AF23" s="436"/>
      <c r="AG23" s="429"/>
      <c r="AH23" s="429"/>
      <c r="AI23" s="429"/>
      <c r="AJ23" s="429"/>
      <c r="AK23" s="436"/>
      <c r="AL23" s="429"/>
      <c r="AM23" s="429"/>
      <c r="AN23" s="429"/>
      <c r="AO23" s="429"/>
      <c r="AP23" s="436"/>
      <c r="AQ23" s="429"/>
      <c r="AR23" s="429"/>
      <c r="AS23" s="429"/>
      <c r="AT23" s="429"/>
      <c r="AU23" s="436"/>
      <c r="AV23" s="429"/>
      <c r="AW23" s="429"/>
      <c r="AX23" s="429"/>
      <c r="AY23" s="429"/>
      <c r="AZ23" s="436"/>
    </row>
    <row r="24" spans="1:53" s="377" customFormat="1" ht="20.100000000000001" customHeight="1" thickBot="1">
      <c r="A24" s="450" t="s">
        <v>415</v>
      </c>
      <c r="B24" s="451" t="s">
        <v>437</v>
      </c>
      <c r="C24" s="414" t="s">
        <v>412</v>
      </c>
      <c r="D24" s="415" t="s">
        <v>412</v>
      </c>
      <c r="E24" s="415" t="s">
        <v>412</v>
      </c>
      <c r="F24" s="415" t="s">
        <v>412</v>
      </c>
      <c r="G24" s="423" t="s">
        <v>412</v>
      </c>
      <c r="H24" s="414">
        <f>SUM(H25:H27)</f>
        <v>4548385</v>
      </c>
      <c r="I24" s="415">
        <f t="shared" ref="I24:N24" si="24">SUM(I25:I27)</f>
        <v>4565319</v>
      </c>
      <c r="J24" s="415">
        <f t="shared" si="24"/>
        <v>4719129</v>
      </c>
      <c r="K24" s="415">
        <f t="shared" si="24"/>
        <v>4468527</v>
      </c>
      <c r="L24" s="423">
        <f t="shared" si="24"/>
        <v>4468527</v>
      </c>
      <c r="M24" s="414">
        <f t="shared" si="24"/>
        <v>4350325</v>
      </c>
      <c r="N24" s="415">
        <f t="shared" si="24"/>
        <v>4227128</v>
      </c>
      <c r="O24" s="415">
        <f>SUM(O25:O27)</f>
        <v>4219194</v>
      </c>
      <c r="P24" s="415">
        <f>SUM(P25:P27)</f>
        <v>4134203</v>
      </c>
      <c r="Q24" s="423">
        <f>SUM(Q25:Q27)</f>
        <v>4134203</v>
      </c>
      <c r="R24" s="414">
        <f t="shared" ref="R24:AK24" si="25">SUM(R25:R27)</f>
        <v>4034757</v>
      </c>
      <c r="S24" s="415">
        <f t="shared" si="25"/>
        <v>3972069</v>
      </c>
      <c r="T24" s="415">
        <f t="shared" si="25"/>
        <v>3976807</v>
      </c>
      <c r="U24" s="415">
        <f t="shared" si="25"/>
        <v>3854993</v>
      </c>
      <c r="V24" s="423">
        <f t="shared" si="25"/>
        <v>3854993</v>
      </c>
      <c r="W24" s="414">
        <f t="shared" si="25"/>
        <v>3787667</v>
      </c>
      <c r="X24" s="415">
        <f t="shared" si="25"/>
        <v>3830816</v>
      </c>
      <c r="Y24" s="415">
        <f t="shared" si="25"/>
        <v>3527904</v>
      </c>
      <c r="Z24" s="415">
        <f t="shared" si="25"/>
        <v>3270338</v>
      </c>
      <c r="AA24" s="423">
        <f t="shared" si="25"/>
        <v>3270338</v>
      </c>
      <c r="AB24" s="414">
        <f t="shared" si="25"/>
        <v>2879090</v>
      </c>
      <c r="AC24" s="415">
        <f t="shared" si="25"/>
        <v>2854301</v>
      </c>
      <c r="AD24" s="415">
        <f t="shared" si="25"/>
        <v>2880161</v>
      </c>
      <c r="AE24" s="415">
        <f t="shared" si="25"/>
        <v>2837553</v>
      </c>
      <c r="AF24" s="423">
        <f t="shared" si="25"/>
        <v>2837553</v>
      </c>
      <c r="AG24" s="415">
        <f t="shared" si="25"/>
        <v>2783184</v>
      </c>
      <c r="AH24" s="415">
        <f t="shared" si="25"/>
        <v>2768818</v>
      </c>
      <c r="AI24" s="415">
        <f>SUM(AI25:AI27)</f>
        <v>2794108</v>
      </c>
      <c r="AJ24" s="415">
        <f t="shared" si="25"/>
        <v>2646869</v>
      </c>
      <c r="AK24" s="423">
        <f t="shared" si="25"/>
        <v>2646869</v>
      </c>
      <c r="AL24" s="415">
        <f>SUM(AL25:AL27)</f>
        <v>2642775</v>
      </c>
      <c r="AM24" s="415">
        <f t="shared" ref="AM24:AP24" si="26">SUM(AM25:AM27)</f>
        <v>2607311</v>
      </c>
      <c r="AN24" s="415">
        <f t="shared" si="26"/>
        <v>2678890</v>
      </c>
      <c r="AO24" s="415">
        <f t="shared" si="26"/>
        <v>2657494</v>
      </c>
      <c r="AP24" s="423">
        <f t="shared" si="26"/>
        <v>2657494</v>
      </c>
      <c r="AQ24" s="415">
        <f>SUM(AQ25:AQ27)</f>
        <v>2638638</v>
      </c>
      <c r="AR24" s="415">
        <f>SUM(AR25:AR27)</f>
        <v>2525224</v>
      </c>
      <c r="AS24" s="415">
        <f t="shared" ref="AS24:AU24" si="27">SUM(AS25:AS27)</f>
        <v>2671239</v>
      </c>
      <c r="AT24" s="415">
        <f t="shared" si="27"/>
        <v>2617813</v>
      </c>
      <c r="AU24" s="423">
        <f t="shared" si="27"/>
        <v>2617813</v>
      </c>
      <c r="AV24" s="415">
        <f>SUM(AV25:AV27)</f>
        <v>2736095</v>
      </c>
      <c r="AW24" s="415">
        <f>SUM(AW25:AW27)</f>
        <v>2595890</v>
      </c>
      <c r="AX24" s="415">
        <f t="shared" ref="AX24:AY24" si="28">SUM(AX25:AX27)</f>
        <v>0</v>
      </c>
      <c r="AY24" s="415">
        <f t="shared" si="28"/>
        <v>0</v>
      </c>
      <c r="AZ24" s="423">
        <f>AW24</f>
        <v>2595890</v>
      </c>
    </row>
    <row r="25" spans="1:53" s="377" customFormat="1" ht="20.100000000000001" customHeight="1">
      <c r="A25" s="447" t="s">
        <v>438</v>
      </c>
      <c r="B25" s="447" t="s">
        <v>439</v>
      </c>
      <c r="C25" s="376" t="s">
        <v>412</v>
      </c>
      <c r="D25" s="99" t="s">
        <v>412</v>
      </c>
      <c r="E25" s="99" t="s">
        <v>412</v>
      </c>
      <c r="F25" s="99" t="s">
        <v>412</v>
      </c>
      <c r="G25" s="422" t="s">
        <v>412</v>
      </c>
      <c r="H25" s="376">
        <v>85574</v>
      </c>
      <c r="I25" s="99">
        <v>81441</v>
      </c>
      <c r="J25" s="99">
        <v>84538</v>
      </c>
      <c r="K25" s="99">
        <v>77771</v>
      </c>
      <c r="L25" s="422">
        <f>K25</f>
        <v>77771</v>
      </c>
      <c r="M25" s="376">
        <v>81619</v>
      </c>
      <c r="N25" s="99">
        <v>66578</v>
      </c>
      <c r="O25" s="379">
        <v>98136</v>
      </c>
      <c r="P25" s="99">
        <v>122787</v>
      </c>
      <c r="Q25" s="422">
        <v>122787</v>
      </c>
      <c r="R25" s="376">
        <v>66163</v>
      </c>
      <c r="S25" s="99">
        <v>41517</v>
      </c>
      <c r="T25" s="99">
        <v>60471</v>
      </c>
      <c r="U25" s="99">
        <v>31972</v>
      </c>
      <c r="V25" s="422">
        <f>U25</f>
        <v>31972</v>
      </c>
      <c r="W25" s="376">
        <v>35754</v>
      </c>
      <c r="X25" s="99">
        <v>73544</v>
      </c>
      <c r="Y25" s="99">
        <v>44913</v>
      </c>
      <c r="Z25" s="99">
        <v>79306</v>
      </c>
      <c r="AA25" s="422">
        <f>Z25</f>
        <v>79306</v>
      </c>
      <c r="AB25" s="376">
        <v>48224</v>
      </c>
      <c r="AC25" s="99">
        <v>57183</v>
      </c>
      <c r="AD25" s="99">
        <v>63627</v>
      </c>
      <c r="AE25" s="99">
        <v>79561</v>
      </c>
      <c r="AF25" s="422">
        <f>AE25</f>
        <v>79561</v>
      </c>
      <c r="AG25" s="99">
        <v>75159</v>
      </c>
      <c r="AH25" s="99">
        <v>59722</v>
      </c>
      <c r="AI25" s="99">
        <v>91261</v>
      </c>
      <c r="AJ25" s="99">
        <v>95685</v>
      </c>
      <c r="AK25" s="422">
        <v>95685</v>
      </c>
      <c r="AL25" s="99">
        <v>144586</v>
      </c>
      <c r="AM25" s="99">
        <v>87176</v>
      </c>
      <c r="AN25" s="99">
        <v>142886</v>
      </c>
      <c r="AO25" s="99">
        <v>161208</v>
      </c>
      <c r="AP25" s="422">
        <v>161208</v>
      </c>
      <c r="AQ25" s="99">
        <v>171958</v>
      </c>
      <c r="AR25" s="99">
        <v>93292</v>
      </c>
      <c r="AS25" s="99">
        <v>158060</v>
      </c>
      <c r="AT25" s="99">
        <v>114416</v>
      </c>
      <c r="AU25" s="422">
        <f>AT25</f>
        <v>114416</v>
      </c>
      <c r="AV25" s="99">
        <v>224608</v>
      </c>
      <c r="AW25" s="99">
        <v>135476</v>
      </c>
      <c r="AX25" s="99"/>
      <c r="AY25" s="99"/>
      <c r="AZ25" s="422">
        <f t="shared" ref="AZ25:AZ27" si="29">AW25</f>
        <v>135476</v>
      </c>
    </row>
    <row r="26" spans="1:53" s="377" customFormat="1" ht="20.100000000000001" customHeight="1">
      <c r="A26" s="447" t="s">
        <v>420</v>
      </c>
      <c r="B26" s="447" t="s">
        <v>440</v>
      </c>
      <c r="C26" s="376" t="s">
        <v>412</v>
      </c>
      <c r="D26" s="99" t="s">
        <v>412</v>
      </c>
      <c r="E26" s="99" t="s">
        <v>412</v>
      </c>
      <c r="F26" s="99" t="s">
        <v>412</v>
      </c>
      <c r="G26" s="422" t="s">
        <v>412</v>
      </c>
      <c r="H26" s="376">
        <v>4385742</v>
      </c>
      <c r="I26" s="99">
        <v>4379630</v>
      </c>
      <c r="J26" s="99">
        <v>4475541</v>
      </c>
      <c r="K26" s="99">
        <v>4171810</v>
      </c>
      <c r="L26" s="422">
        <f>K26</f>
        <v>4171810</v>
      </c>
      <c r="M26" s="376">
        <v>4042605</v>
      </c>
      <c r="N26" s="99">
        <v>3923778</v>
      </c>
      <c r="O26" s="379">
        <v>3855669</v>
      </c>
      <c r="P26" s="99">
        <v>3792978</v>
      </c>
      <c r="Q26" s="422">
        <v>3792978</v>
      </c>
      <c r="R26" s="376">
        <v>3775976</v>
      </c>
      <c r="S26" s="99">
        <v>3737282</v>
      </c>
      <c r="T26" s="99">
        <v>3685092</v>
      </c>
      <c r="U26" s="99">
        <v>3591736</v>
      </c>
      <c r="V26" s="422">
        <f t="shared" ref="V26:V27" si="30">U26</f>
        <v>3591736</v>
      </c>
      <c r="W26" s="376">
        <v>3495733</v>
      </c>
      <c r="X26" s="99">
        <v>3473228</v>
      </c>
      <c r="Y26" s="99">
        <v>3223224</v>
      </c>
      <c r="Z26" s="99">
        <v>2972443</v>
      </c>
      <c r="AA26" s="422">
        <f t="shared" ref="AA26:AA27" si="31">Z26</f>
        <v>2972443</v>
      </c>
      <c r="AB26" s="376">
        <v>2646477</v>
      </c>
      <c r="AC26" s="99">
        <v>2616592</v>
      </c>
      <c r="AD26" s="99">
        <v>2623950</v>
      </c>
      <c r="AE26" s="99">
        <v>2579613</v>
      </c>
      <c r="AF26" s="422">
        <f t="shared" ref="AF26:AF27" si="32">AE26</f>
        <v>2579613</v>
      </c>
      <c r="AG26" s="99">
        <v>2539402</v>
      </c>
      <c r="AH26" s="99">
        <v>2545749</v>
      </c>
      <c r="AI26" s="99">
        <v>2550355</v>
      </c>
      <c r="AJ26" s="99">
        <v>2423774</v>
      </c>
      <c r="AK26" s="422">
        <v>2423774</v>
      </c>
      <c r="AL26" s="99">
        <v>2387672</v>
      </c>
      <c r="AM26" s="99">
        <v>2418370</v>
      </c>
      <c r="AN26" s="99">
        <v>2443295</v>
      </c>
      <c r="AO26" s="99">
        <v>2415819</v>
      </c>
      <c r="AP26" s="422">
        <v>2415819</v>
      </c>
      <c r="AQ26" s="99">
        <v>2393373</v>
      </c>
      <c r="AR26" s="99">
        <v>2364248</v>
      </c>
      <c r="AS26" s="99">
        <v>2449237</v>
      </c>
      <c r="AT26" s="99">
        <v>2445873</v>
      </c>
      <c r="AU26" s="422">
        <f>AT26</f>
        <v>2445873</v>
      </c>
      <c r="AV26" s="99">
        <v>2458165</v>
      </c>
      <c r="AW26" s="99">
        <v>2413672</v>
      </c>
      <c r="AX26" s="99"/>
      <c r="AY26" s="99"/>
      <c r="AZ26" s="422">
        <f t="shared" si="29"/>
        <v>2413672</v>
      </c>
    </row>
    <row r="27" spans="1:53" s="377" customFormat="1" ht="20.100000000000001" customHeight="1" thickBot="1">
      <c r="A27" s="447" t="s">
        <v>441</v>
      </c>
      <c r="B27" s="447" t="s">
        <v>441</v>
      </c>
      <c r="C27" s="376" t="s">
        <v>412</v>
      </c>
      <c r="D27" s="99" t="s">
        <v>412</v>
      </c>
      <c r="E27" s="99" t="s">
        <v>412</v>
      </c>
      <c r="F27" s="99" t="s">
        <v>412</v>
      </c>
      <c r="G27" s="422" t="s">
        <v>412</v>
      </c>
      <c r="H27" s="376">
        <v>77069</v>
      </c>
      <c r="I27" s="99">
        <v>104248</v>
      </c>
      <c r="J27" s="99">
        <v>159050</v>
      </c>
      <c r="K27" s="99">
        <v>218946</v>
      </c>
      <c r="L27" s="422">
        <f>K27</f>
        <v>218946</v>
      </c>
      <c r="M27" s="376">
        <v>226101</v>
      </c>
      <c r="N27" s="99">
        <v>236772</v>
      </c>
      <c r="O27" s="379">
        <v>265389</v>
      </c>
      <c r="P27" s="99">
        <v>218438</v>
      </c>
      <c r="Q27" s="422">
        <v>218438</v>
      </c>
      <c r="R27" s="376">
        <v>192618</v>
      </c>
      <c r="S27" s="99">
        <v>193270</v>
      </c>
      <c r="T27" s="99">
        <v>231244</v>
      </c>
      <c r="U27" s="99">
        <v>231285</v>
      </c>
      <c r="V27" s="422">
        <f t="shared" si="30"/>
        <v>231285</v>
      </c>
      <c r="W27" s="376">
        <v>256180</v>
      </c>
      <c r="X27" s="99">
        <v>284044</v>
      </c>
      <c r="Y27" s="99">
        <v>259767</v>
      </c>
      <c r="Z27" s="99">
        <v>218589</v>
      </c>
      <c r="AA27" s="422">
        <f t="shared" si="31"/>
        <v>218589</v>
      </c>
      <c r="AB27" s="376">
        <v>184389</v>
      </c>
      <c r="AC27" s="99">
        <v>180526</v>
      </c>
      <c r="AD27" s="99">
        <v>192584</v>
      </c>
      <c r="AE27" s="99">
        <v>178379</v>
      </c>
      <c r="AF27" s="422">
        <f t="shared" si="32"/>
        <v>178379</v>
      </c>
      <c r="AG27" s="99">
        <v>168623</v>
      </c>
      <c r="AH27" s="99">
        <v>163347</v>
      </c>
      <c r="AI27" s="99">
        <v>152492</v>
      </c>
      <c r="AJ27" s="99">
        <v>127410</v>
      </c>
      <c r="AK27" s="422">
        <v>127410</v>
      </c>
      <c r="AL27" s="99">
        <v>110517</v>
      </c>
      <c r="AM27" s="99">
        <v>101765</v>
      </c>
      <c r="AN27" s="99">
        <v>92709</v>
      </c>
      <c r="AO27" s="99">
        <v>80467</v>
      </c>
      <c r="AP27" s="422">
        <v>80467</v>
      </c>
      <c r="AQ27" s="99">
        <v>73307</v>
      </c>
      <c r="AR27" s="99">
        <v>67684</v>
      </c>
      <c r="AS27" s="99">
        <v>63942</v>
      </c>
      <c r="AT27" s="99">
        <v>57524</v>
      </c>
      <c r="AU27" s="422">
        <f>AT27</f>
        <v>57524</v>
      </c>
      <c r="AV27" s="99">
        <v>53322</v>
      </c>
      <c r="AW27" s="99">
        <v>46742</v>
      </c>
      <c r="AX27" s="99"/>
      <c r="AY27" s="99"/>
      <c r="AZ27" s="422">
        <f t="shared" si="29"/>
        <v>46742</v>
      </c>
    </row>
    <row r="28" spans="1:53" s="421" customFormat="1" ht="20.100000000000001" customHeight="1" thickBot="1">
      <c r="A28" s="419" t="s">
        <v>442</v>
      </c>
      <c r="B28" s="420" t="s">
        <v>443</v>
      </c>
      <c r="C28" s="417" t="s">
        <v>412</v>
      </c>
      <c r="D28" s="418" t="s">
        <v>412</v>
      </c>
      <c r="E28" s="418" t="s">
        <v>412</v>
      </c>
      <c r="F28" s="418" t="s">
        <v>412</v>
      </c>
      <c r="G28" s="416" t="s">
        <v>412</v>
      </c>
      <c r="H28" s="417">
        <v>18</v>
      </c>
      <c r="I28" s="418">
        <v>19.2</v>
      </c>
      <c r="J28" s="418">
        <v>18.2</v>
      </c>
      <c r="K28" s="418">
        <v>17.5</v>
      </c>
      <c r="L28" s="416">
        <v>18.2</v>
      </c>
      <c r="M28" s="417">
        <v>16.5</v>
      </c>
      <c r="N28" s="418">
        <v>17.899999999999999</v>
      </c>
      <c r="O28" s="418">
        <v>18.3</v>
      </c>
      <c r="P28" s="418">
        <v>18.2</v>
      </c>
      <c r="Q28" s="416">
        <v>17.7</v>
      </c>
      <c r="R28" s="417">
        <v>17.3</v>
      </c>
      <c r="S28" s="418">
        <v>18.3</v>
      </c>
      <c r="T28" s="418">
        <v>19</v>
      </c>
      <c r="U28" s="418">
        <v>18.5</v>
      </c>
      <c r="V28" s="416">
        <v>18.3</v>
      </c>
      <c r="W28" s="417">
        <v>17.7</v>
      </c>
      <c r="X28" s="418">
        <v>18.899999999999999</v>
      </c>
      <c r="Y28" s="418">
        <v>18.7</v>
      </c>
      <c r="Z28" s="418">
        <v>19.2</v>
      </c>
      <c r="AA28" s="416">
        <v>18.600000000000001</v>
      </c>
      <c r="AB28" s="417">
        <v>18.7</v>
      </c>
      <c r="AC28" s="418">
        <v>20.5</v>
      </c>
      <c r="AD28" s="418">
        <v>20.2</v>
      </c>
      <c r="AE28" s="418">
        <v>20.100000000000001</v>
      </c>
      <c r="AF28" s="416">
        <v>19.899999999999999</v>
      </c>
      <c r="AG28" s="418">
        <v>20.100000000000001</v>
      </c>
      <c r="AH28" s="418">
        <v>20.399999999999999</v>
      </c>
      <c r="AI28" s="418">
        <v>20.8</v>
      </c>
      <c r="AJ28" s="418">
        <v>20.3</v>
      </c>
      <c r="AK28" s="416">
        <v>20.399999999999999</v>
      </c>
      <c r="AL28" s="418">
        <v>20.100000000000001</v>
      </c>
      <c r="AM28" s="418">
        <v>20.8</v>
      </c>
      <c r="AN28" s="418">
        <v>20.8</v>
      </c>
      <c r="AO28" s="418">
        <v>20.3</v>
      </c>
      <c r="AP28" s="416">
        <v>20.5</v>
      </c>
      <c r="AQ28" s="418">
        <v>20.7</v>
      </c>
      <c r="AR28" s="418">
        <v>21.4</v>
      </c>
      <c r="AS28" s="418">
        <v>21.5</v>
      </c>
      <c r="AT28" s="418">
        <v>21.8</v>
      </c>
      <c r="AU28" s="416">
        <v>21.4</v>
      </c>
      <c r="AV28" s="418">
        <v>21.5</v>
      </c>
      <c r="AW28" s="418">
        <v>21.967114718613772</v>
      </c>
      <c r="AX28" s="418"/>
      <c r="AY28" s="418"/>
      <c r="AZ28" s="416">
        <v>21.574566823483693</v>
      </c>
    </row>
    <row r="29" spans="1:53" s="377" customFormat="1" ht="20.100000000000001" customHeight="1" thickBot="1">
      <c r="A29" s="450" t="s">
        <v>431</v>
      </c>
      <c r="B29" s="451" t="s">
        <v>444</v>
      </c>
      <c r="C29" s="414" t="s">
        <v>412</v>
      </c>
      <c r="D29" s="415" t="s">
        <v>412</v>
      </c>
      <c r="E29" s="415" t="s">
        <v>412</v>
      </c>
      <c r="F29" s="415" t="s">
        <v>412</v>
      </c>
      <c r="G29" s="423" t="s">
        <v>412</v>
      </c>
      <c r="H29" s="414">
        <f>SUM(H30:H32)</f>
        <v>4549031</v>
      </c>
      <c r="I29" s="415">
        <f t="shared" ref="I29:N29" si="33">SUM(I30:I32)</f>
        <v>4532090</v>
      </c>
      <c r="J29" s="415">
        <f t="shared" si="33"/>
        <v>4635182</v>
      </c>
      <c r="K29" s="415">
        <f t="shared" si="33"/>
        <v>4599374</v>
      </c>
      <c r="L29" s="423">
        <f t="shared" si="33"/>
        <v>4578919.25</v>
      </c>
      <c r="M29" s="414">
        <f t="shared" si="33"/>
        <v>4398038</v>
      </c>
      <c r="N29" s="415">
        <f t="shared" si="33"/>
        <v>4285747</v>
      </c>
      <c r="O29" s="415">
        <f>SUM(O30:O32)</f>
        <v>4212274</v>
      </c>
      <c r="P29" s="415">
        <f>SUM(P30:P32)</f>
        <v>4172129</v>
      </c>
      <c r="Q29" s="423">
        <f>SUM(Q30:Q32)</f>
        <v>4267047</v>
      </c>
      <c r="R29" s="414">
        <f t="shared" ref="R29:AU29" si="34">SUM(R30:R32)</f>
        <v>4068646</v>
      </c>
      <c r="S29" s="415">
        <f t="shared" si="34"/>
        <v>4006108</v>
      </c>
      <c r="T29" s="415">
        <f t="shared" si="34"/>
        <v>3970091</v>
      </c>
      <c r="U29" s="415">
        <f t="shared" si="34"/>
        <v>3917979</v>
      </c>
      <c r="V29" s="423">
        <f t="shared" si="34"/>
        <v>3990706</v>
      </c>
      <c r="W29" s="414">
        <f t="shared" si="34"/>
        <v>3801870</v>
      </c>
      <c r="X29" s="415">
        <f t="shared" si="34"/>
        <v>3794613</v>
      </c>
      <c r="Y29" s="415">
        <f t="shared" si="34"/>
        <v>3713417</v>
      </c>
      <c r="Z29" s="415">
        <f t="shared" si="34"/>
        <v>3341220</v>
      </c>
      <c r="AA29" s="423">
        <f t="shared" si="34"/>
        <v>3662780</v>
      </c>
      <c r="AB29" s="414">
        <f t="shared" si="34"/>
        <v>3050604</v>
      </c>
      <c r="AC29" s="415">
        <f t="shared" si="34"/>
        <v>2882155</v>
      </c>
      <c r="AD29" s="415">
        <f t="shared" si="34"/>
        <v>2863783</v>
      </c>
      <c r="AE29" s="415">
        <f t="shared" si="34"/>
        <v>2851766</v>
      </c>
      <c r="AF29" s="423">
        <f t="shared" si="34"/>
        <v>2912076</v>
      </c>
      <c r="AG29" s="415">
        <f t="shared" si="34"/>
        <v>2789695</v>
      </c>
      <c r="AH29" s="415">
        <f t="shared" si="34"/>
        <v>2771707.333333333</v>
      </c>
      <c r="AI29" s="415">
        <f t="shared" si="34"/>
        <v>2774199</v>
      </c>
      <c r="AJ29" s="415">
        <f t="shared" si="34"/>
        <v>2745638</v>
      </c>
      <c r="AK29" s="423">
        <f t="shared" si="34"/>
        <v>2770309</v>
      </c>
      <c r="AL29" s="415">
        <f t="shared" si="34"/>
        <v>2613613</v>
      </c>
      <c r="AM29" s="415">
        <f t="shared" si="34"/>
        <v>2616887</v>
      </c>
      <c r="AN29" s="415">
        <f t="shared" si="34"/>
        <v>2633673</v>
      </c>
      <c r="AO29" s="415">
        <f t="shared" si="34"/>
        <v>2656703</v>
      </c>
      <c r="AP29" s="423">
        <f t="shared" si="34"/>
        <v>2630219</v>
      </c>
      <c r="AQ29" s="415">
        <f t="shared" si="34"/>
        <v>2604742</v>
      </c>
      <c r="AR29" s="415">
        <f t="shared" si="34"/>
        <v>2591758</v>
      </c>
      <c r="AS29" s="415">
        <f t="shared" si="34"/>
        <v>2612383</v>
      </c>
      <c r="AT29" s="415">
        <f t="shared" si="34"/>
        <v>2687327</v>
      </c>
      <c r="AU29" s="423">
        <f t="shared" si="34"/>
        <v>2624052.4583333335</v>
      </c>
      <c r="AV29" s="415">
        <f t="shared" ref="AV29:AY29" si="35">SUM(AV30:AV32)</f>
        <v>2638165</v>
      </c>
      <c r="AW29" s="415">
        <f t="shared" si="35"/>
        <v>2651956.8333333335</v>
      </c>
      <c r="AX29" s="415">
        <f t="shared" si="35"/>
        <v>0</v>
      </c>
      <c r="AY29" s="415">
        <f t="shared" si="35"/>
        <v>0</v>
      </c>
      <c r="AZ29" s="423">
        <v>2643708.2499999995</v>
      </c>
    </row>
    <row r="30" spans="1:53" s="377" customFormat="1" ht="20.100000000000001" customHeight="1">
      <c r="A30" s="447" t="s">
        <v>438</v>
      </c>
      <c r="B30" s="447" t="s">
        <v>439</v>
      </c>
      <c r="C30" s="376" t="s">
        <v>412</v>
      </c>
      <c r="D30" s="99" t="s">
        <v>412</v>
      </c>
      <c r="E30" s="99" t="s">
        <v>412</v>
      </c>
      <c r="F30" s="99" t="s">
        <v>412</v>
      </c>
      <c r="G30" s="422" t="s">
        <v>412</v>
      </c>
      <c r="H30" s="376">
        <v>78707</v>
      </c>
      <c r="I30" s="99">
        <v>73828</v>
      </c>
      <c r="J30" s="99">
        <v>68740</v>
      </c>
      <c r="K30" s="99">
        <v>77953</v>
      </c>
      <c r="L30" s="422">
        <f>AVERAGE(H30:K30)</f>
        <v>74807</v>
      </c>
      <c r="M30" s="376">
        <v>77779</v>
      </c>
      <c r="N30" s="99">
        <v>79253</v>
      </c>
      <c r="O30" s="379">
        <v>69522</v>
      </c>
      <c r="P30" s="99">
        <v>129021</v>
      </c>
      <c r="Q30" s="422">
        <v>88894</v>
      </c>
      <c r="R30" s="376">
        <v>67972</v>
      </c>
      <c r="S30" s="99">
        <v>61165</v>
      </c>
      <c r="T30" s="99">
        <v>41313</v>
      </c>
      <c r="U30" s="99">
        <v>56743</v>
      </c>
      <c r="V30" s="422">
        <v>56798</v>
      </c>
      <c r="W30" s="376">
        <v>36255</v>
      </c>
      <c r="X30" s="99">
        <v>52114</v>
      </c>
      <c r="Y30" s="99">
        <v>42971</v>
      </c>
      <c r="Z30" s="99">
        <v>54083</v>
      </c>
      <c r="AA30" s="422">
        <v>46356</v>
      </c>
      <c r="AB30" s="376">
        <v>48659</v>
      </c>
      <c r="AC30" s="99">
        <v>69132</v>
      </c>
      <c r="AD30" s="99">
        <v>54950</v>
      </c>
      <c r="AE30" s="99">
        <v>65088</v>
      </c>
      <c r="AF30" s="422">
        <v>59457</v>
      </c>
      <c r="AG30" s="99">
        <v>58222</v>
      </c>
      <c r="AH30" s="99">
        <v>69503.166666666672</v>
      </c>
      <c r="AI30" s="99">
        <v>58358</v>
      </c>
      <c r="AJ30" s="99">
        <v>95346</v>
      </c>
      <c r="AK30" s="422">
        <v>70357</v>
      </c>
      <c r="AL30" s="99">
        <v>91940</v>
      </c>
      <c r="AM30" s="99">
        <v>113249</v>
      </c>
      <c r="AN30" s="99">
        <v>94727</v>
      </c>
      <c r="AO30" s="99">
        <v>145284</v>
      </c>
      <c r="AP30" s="422">
        <v>111300</v>
      </c>
      <c r="AQ30" s="99">
        <v>122482</v>
      </c>
      <c r="AR30" s="99">
        <v>160079</v>
      </c>
      <c r="AS30" s="99">
        <v>131105</v>
      </c>
      <c r="AT30" s="99">
        <v>176926</v>
      </c>
      <c r="AU30" s="422">
        <v>147648</v>
      </c>
      <c r="AV30" s="99">
        <v>140172</v>
      </c>
      <c r="AW30" s="99">
        <v>188256.66666666666</v>
      </c>
      <c r="AX30" s="99"/>
      <c r="AY30" s="99"/>
      <c r="AZ30" s="422">
        <v>164214.16666666666</v>
      </c>
    </row>
    <row r="31" spans="1:53" s="377" customFormat="1" ht="20.100000000000001" customHeight="1">
      <c r="A31" s="447" t="s">
        <v>420</v>
      </c>
      <c r="B31" s="447" t="s">
        <v>440</v>
      </c>
      <c r="C31" s="376" t="s">
        <v>412</v>
      </c>
      <c r="D31" s="99" t="s">
        <v>412</v>
      </c>
      <c r="E31" s="99" t="s">
        <v>412</v>
      </c>
      <c r="F31" s="99" t="s">
        <v>412</v>
      </c>
      <c r="G31" s="422" t="s">
        <v>412</v>
      </c>
      <c r="H31" s="376">
        <v>4397976</v>
      </c>
      <c r="I31" s="99">
        <v>4370181</v>
      </c>
      <c r="J31" s="99">
        <v>4431149</v>
      </c>
      <c r="K31" s="99">
        <v>4338987</v>
      </c>
      <c r="L31" s="422">
        <f t="shared" ref="L31:L32" si="36">AVERAGE(H31:K31)</f>
        <v>4384573.25</v>
      </c>
      <c r="M31" s="376">
        <v>4091609</v>
      </c>
      <c r="N31" s="99">
        <v>3975410</v>
      </c>
      <c r="O31" s="379">
        <v>3893375</v>
      </c>
      <c r="P31" s="99">
        <v>3798701</v>
      </c>
      <c r="Q31" s="422">
        <v>3939774</v>
      </c>
      <c r="R31" s="376">
        <v>3797423</v>
      </c>
      <c r="S31" s="99">
        <v>3755130</v>
      </c>
      <c r="T31" s="99">
        <v>3713656</v>
      </c>
      <c r="U31" s="99">
        <v>3630863</v>
      </c>
      <c r="V31" s="422">
        <v>3724268</v>
      </c>
      <c r="W31" s="376">
        <v>3529840</v>
      </c>
      <c r="X31" s="99">
        <v>3473104</v>
      </c>
      <c r="Y31" s="99">
        <v>3386794</v>
      </c>
      <c r="Z31" s="99">
        <v>3058691</v>
      </c>
      <c r="AA31" s="422">
        <v>3362107</v>
      </c>
      <c r="AB31" s="376">
        <v>2800366</v>
      </c>
      <c r="AC31" s="99">
        <v>2631773</v>
      </c>
      <c r="AD31" s="99">
        <v>2620575</v>
      </c>
      <c r="AE31" s="99">
        <v>2601552</v>
      </c>
      <c r="AF31" s="422">
        <v>2663566</v>
      </c>
      <c r="AG31" s="99">
        <v>2558174</v>
      </c>
      <c r="AH31" s="99">
        <v>2536844.1666666665</v>
      </c>
      <c r="AI31" s="99">
        <v>2555414</v>
      </c>
      <c r="AJ31" s="99">
        <v>2511226</v>
      </c>
      <c r="AK31" s="422">
        <v>2540414</v>
      </c>
      <c r="AL31" s="99">
        <v>2403135</v>
      </c>
      <c r="AM31" s="99">
        <v>2398016</v>
      </c>
      <c r="AN31" s="99">
        <v>2441160</v>
      </c>
      <c r="AO31" s="99">
        <v>2425301</v>
      </c>
      <c r="AP31" s="422">
        <v>2416903</v>
      </c>
      <c r="AQ31" s="99">
        <v>2405796</v>
      </c>
      <c r="AR31" s="99">
        <v>2361397</v>
      </c>
      <c r="AS31" s="99">
        <v>2414825</v>
      </c>
      <c r="AT31" s="99">
        <v>2449774</v>
      </c>
      <c r="AU31" s="422">
        <v>2407948</v>
      </c>
      <c r="AV31" s="99">
        <v>2442879</v>
      </c>
      <c r="AW31" s="99">
        <v>2415289.8333333335</v>
      </c>
      <c r="AX31" s="99"/>
      <c r="AY31" s="99"/>
      <c r="AZ31" s="422">
        <v>2429084.4166666665</v>
      </c>
    </row>
    <row r="32" spans="1:53" s="377" customFormat="1" ht="20.100000000000001" customHeight="1" thickBot="1">
      <c r="A32" s="448" t="s">
        <v>441</v>
      </c>
      <c r="B32" s="448" t="s">
        <v>441</v>
      </c>
      <c r="C32" s="393" t="s">
        <v>412</v>
      </c>
      <c r="D32" s="253" t="s">
        <v>412</v>
      </c>
      <c r="E32" s="253" t="s">
        <v>412</v>
      </c>
      <c r="F32" s="253" t="s">
        <v>412</v>
      </c>
      <c r="G32" s="449" t="s">
        <v>412</v>
      </c>
      <c r="H32" s="393">
        <v>72348</v>
      </c>
      <c r="I32" s="253">
        <v>88081</v>
      </c>
      <c r="J32" s="253">
        <v>135293</v>
      </c>
      <c r="K32" s="253">
        <v>182434</v>
      </c>
      <c r="L32" s="449">
        <f t="shared" si="36"/>
        <v>119539</v>
      </c>
      <c r="M32" s="393">
        <v>228650</v>
      </c>
      <c r="N32" s="253">
        <v>231084</v>
      </c>
      <c r="O32" s="394">
        <v>249377</v>
      </c>
      <c r="P32" s="253">
        <v>244407</v>
      </c>
      <c r="Q32" s="449">
        <v>238379</v>
      </c>
      <c r="R32" s="393">
        <v>203251</v>
      </c>
      <c r="S32" s="253">
        <v>189813</v>
      </c>
      <c r="T32" s="253">
        <v>215122</v>
      </c>
      <c r="U32" s="253">
        <v>230373</v>
      </c>
      <c r="V32" s="449">
        <v>209640</v>
      </c>
      <c r="W32" s="393">
        <v>235775</v>
      </c>
      <c r="X32" s="253">
        <v>269395</v>
      </c>
      <c r="Y32" s="253">
        <v>283652</v>
      </c>
      <c r="Z32" s="253">
        <v>228446</v>
      </c>
      <c r="AA32" s="449">
        <v>254317</v>
      </c>
      <c r="AB32" s="393">
        <v>201579</v>
      </c>
      <c r="AC32" s="253">
        <v>181250</v>
      </c>
      <c r="AD32" s="253">
        <v>188258</v>
      </c>
      <c r="AE32" s="253">
        <v>185126</v>
      </c>
      <c r="AF32" s="449">
        <v>189053</v>
      </c>
      <c r="AG32" s="253">
        <v>173299</v>
      </c>
      <c r="AH32" s="253">
        <v>165360</v>
      </c>
      <c r="AI32" s="253">
        <v>160427</v>
      </c>
      <c r="AJ32" s="253">
        <v>139066</v>
      </c>
      <c r="AK32" s="449">
        <v>159538</v>
      </c>
      <c r="AL32" s="253">
        <v>118538</v>
      </c>
      <c r="AM32" s="253">
        <v>105622</v>
      </c>
      <c r="AN32" s="253">
        <v>97786</v>
      </c>
      <c r="AO32" s="253">
        <v>86118</v>
      </c>
      <c r="AP32" s="449">
        <v>102016</v>
      </c>
      <c r="AQ32" s="253">
        <v>76464</v>
      </c>
      <c r="AR32" s="253">
        <v>70282</v>
      </c>
      <c r="AS32" s="253">
        <v>66453</v>
      </c>
      <c r="AT32" s="253">
        <v>60627</v>
      </c>
      <c r="AU32" s="449">
        <v>68456.458333333299</v>
      </c>
      <c r="AV32" s="253">
        <v>55114</v>
      </c>
      <c r="AW32" s="253">
        <v>48410.333333333336</v>
      </c>
      <c r="AX32" s="253"/>
      <c r="AY32" s="253"/>
      <c r="AZ32" s="449">
        <v>50409.666666666664</v>
      </c>
    </row>
    <row r="33" spans="1:50" s="375" customFormat="1" ht="20.100000000000001" customHeight="1">
      <c r="A33" s="4"/>
      <c r="B33" s="4"/>
      <c r="G33" s="4"/>
      <c r="S33" s="4"/>
      <c r="T33" s="4"/>
      <c r="AM33" s="4"/>
      <c r="AN33" s="4"/>
      <c r="AR33" s="4"/>
      <c r="AS33" s="4"/>
      <c r="AW33" s="4"/>
      <c r="AX33" s="4"/>
    </row>
    <row r="34" spans="1:50" s="375" customFormat="1" ht="48">
      <c r="A34" s="395" t="s">
        <v>445</v>
      </c>
      <c r="B34" s="395" t="s">
        <v>446</v>
      </c>
      <c r="G34" s="4"/>
      <c r="O34" s="396"/>
      <c r="P34" s="396"/>
      <c r="Q34" s="396"/>
      <c r="R34" s="396"/>
      <c r="S34" s="397"/>
      <c r="T34" s="397"/>
      <c r="U34" s="396"/>
      <c r="V34" s="396"/>
      <c r="W34" s="396"/>
      <c r="X34" s="396"/>
      <c r="Y34" s="396"/>
      <c r="Z34" s="396"/>
      <c r="AA34" s="396"/>
      <c r="AB34" s="396"/>
      <c r="AC34" s="396"/>
      <c r="AD34" s="396"/>
      <c r="AE34" s="396"/>
      <c r="AF34" s="396"/>
      <c r="AG34" s="396"/>
      <c r="AH34" s="396"/>
      <c r="AI34" s="396"/>
      <c r="AJ34" s="396"/>
      <c r="AK34" s="396"/>
      <c r="AM34" s="4"/>
      <c r="AN34" s="4"/>
      <c r="AR34" s="4"/>
      <c r="AS34" s="4"/>
      <c r="AW34" s="4"/>
      <c r="AX34" s="4"/>
    </row>
    <row r="35" spans="1:50" s="375" customFormat="1" ht="48">
      <c r="A35" s="395" t="s">
        <v>447</v>
      </c>
      <c r="B35" s="395" t="s">
        <v>448</v>
      </c>
      <c r="G35" s="4"/>
      <c r="O35" s="396"/>
      <c r="P35" s="396"/>
      <c r="Q35" s="396"/>
      <c r="R35" s="396"/>
      <c r="S35" s="397"/>
      <c r="T35" s="397"/>
      <c r="U35" s="396"/>
      <c r="V35" s="396"/>
      <c r="W35" s="396"/>
      <c r="X35" s="396"/>
      <c r="Y35" s="396"/>
      <c r="Z35" s="396"/>
      <c r="AA35" s="396"/>
      <c r="AB35" s="396"/>
      <c r="AC35" s="396"/>
      <c r="AD35" s="396"/>
      <c r="AE35" s="396"/>
      <c r="AF35" s="396"/>
      <c r="AG35" s="396"/>
      <c r="AH35" s="396"/>
      <c r="AI35" s="396"/>
      <c r="AJ35" s="396"/>
      <c r="AK35" s="396"/>
      <c r="AM35" s="4"/>
      <c r="AN35" s="4"/>
      <c r="AR35" s="4"/>
      <c r="AS35" s="4"/>
      <c r="AW35" s="4"/>
      <c r="AX35" s="4"/>
    </row>
    <row r="36" spans="1:50" s="375" customFormat="1" ht="48">
      <c r="A36" s="398" t="s">
        <v>449</v>
      </c>
      <c r="B36" s="395" t="s">
        <v>450</v>
      </c>
      <c r="C36" s="399"/>
      <c r="D36" s="399"/>
      <c r="E36" s="399"/>
      <c r="F36" s="399"/>
      <c r="G36" s="399"/>
      <c r="H36" s="399"/>
      <c r="I36" s="399"/>
      <c r="J36" s="399"/>
      <c r="O36" s="396"/>
      <c r="P36" s="396"/>
      <c r="Q36" s="396"/>
      <c r="R36" s="396"/>
      <c r="S36" s="397"/>
      <c r="T36" s="397"/>
      <c r="U36" s="396"/>
      <c r="V36" s="396"/>
      <c r="W36" s="396"/>
      <c r="X36" s="396"/>
      <c r="Y36" s="396"/>
      <c r="Z36" s="396"/>
      <c r="AA36" s="396"/>
      <c r="AB36" s="396"/>
      <c r="AC36" s="396"/>
      <c r="AD36" s="396"/>
      <c r="AE36" s="396"/>
      <c r="AF36" s="396"/>
      <c r="AG36" s="396"/>
      <c r="AH36" s="396"/>
      <c r="AI36" s="396"/>
      <c r="AJ36" s="396"/>
      <c r="AK36" s="396"/>
      <c r="AM36" s="4"/>
      <c r="AN36" s="4"/>
      <c r="AR36" s="4"/>
      <c r="AS36" s="4"/>
      <c r="AW36" s="4"/>
      <c r="AX36" s="4"/>
    </row>
    <row r="37" spans="1:50" s="375" customFormat="1" ht="132" customHeight="1">
      <c r="A37" s="398" t="s">
        <v>451</v>
      </c>
      <c r="B37" s="395" t="s">
        <v>452</v>
      </c>
      <c r="C37" s="399"/>
      <c r="D37" s="399"/>
      <c r="E37" s="399"/>
      <c r="F37" s="399"/>
      <c r="G37" s="399"/>
      <c r="H37" s="399"/>
      <c r="I37" s="399"/>
      <c r="J37" s="399"/>
      <c r="K37" s="399"/>
      <c r="L37" s="399"/>
      <c r="M37" s="399"/>
      <c r="N37" s="399"/>
      <c r="O37" s="398"/>
      <c r="P37" s="398"/>
      <c r="Q37" s="398"/>
      <c r="R37" s="398"/>
      <c r="S37" s="398"/>
      <c r="T37" s="398"/>
      <c r="U37" s="4"/>
      <c r="Z37" s="4"/>
      <c r="AE37" s="4"/>
      <c r="AJ37" s="4"/>
      <c r="AM37" s="4"/>
      <c r="AN37" s="4"/>
      <c r="AR37" s="4"/>
      <c r="AS37" s="4"/>
      <c r="AW37" s="4"/>
      <c r="AX37" s="4"/>
    </row>
    <row r="38" spans="1:50" s="375" customFormat="1" ht="36">
      <c r="A38" s="398" t="s">
        <v>453</v>
      </c>
      <c r="B38" s="395" t="s">
        <v>454</v>
      </c>
      <c r="C38" s="399"/>
      <c r="D38" s="399"/>
      <c r="E38" s="399"/>
      <c r="F38" s="399"/>
      <c r="G38" s="399"/>
      <c r="H38" s="399"/>
      <c r="I38" s="399"/>
      <c r="J38" s="399"/>
      <c r="K38" s="399"/>
      <c r="L38" s="399"/>
      <c r="M38" s="399"/>
      <c r="N38" s="399"/>
      <c r="O38" s="396"/>
      <c r="P38" s="396"/>
      <c r="Q38" s="396"/>
      <c r="R38" s="396"/>
      <c r="S38" s="397"/>
      <c r="T38" s="397"/>
      <c r="U38" s="396"/>
      <c r="V38" s="396"/>
      <c r="W38" s="396"/>
      <c r="X38" s="396"/>
      <c r="Y38" s="396"/>
      <c r="Z38" s="396"/>
      <c r="AA38" s="396"/>
      <c r="AB38" s="396"/>
      <c r="AC38" s="396"/>
      <c r="AD38" s="396"/>
      <c r="AE38" s="396"/>
      <c r="AF38" s="396"/>
      <c r="AG38" s="396"/>
      <c r="AH38" s="396"/>
      <c r="AI38" s="396"/>
      <c r="AJ38" s="396"/>
      <c r="AK38" s="396"/>
      <c r="AM38" s="4"/>
      <c r="AN38" s="4"/>
      <c r="AR38" s="4"/>
      <c r="AS38" s="4"/>
      <c r="AW38" s="4"/>
      <c r="AX38" s="4"/>
    </row>
    <row r="39" spans="1:50" s="375" customFormat="1" ht="84">
      <c r="A39" s="395" t="s">
        <v>455</v>
      </c>
      <c r="B39" s="395" t="s">
        <v>456</v>
      </c>
      <c r="S39" s="4"/>
      <c r="T39" s="4"/>
      <c r="AM39" s="4"/>
      <c r="AN39" s="4"/>
      <c r="AR39" s="4"/>
      <c r="AS39" s="4"/>
      <c r="AW39" s="4"/>
      <c r="AX39" s="4"/>
    </row>
    <row r="40" spans="1:50" s="375" customFormat="1" ht="20.100000000000001" customHeight="1">
      <c r="A40" s="4"/>
      <c r="B40" s="4"/>
      <c r="S40" s="4"/>
      <c r="T40" s="4"/>
      <c r="AM40" s="4"/>
      <c r="AN40" s="4"/>
      <c r="AR40" s="4"/>
      <c r="AS40" s="4"/>
      <c r="AW40" s="4"/>
      <c r="AX40" s="4"/>
    </row>
    <row r="41" spans="1:50" s="375" customFormat="1" ht="20.100000000000001" customHeight="1">
      <c r="A41" s="4"/>
      <c r="B41" s="4"/>
      <c r="S41" s="4"/>
      <c r="T41" s="4"/>
      <c r="AM41" s="4"/>
      <c r="AN41" s="4"/>
      <c r="AR41" s="4"/>
      <c r="AS41" s="4"/>
      <c r="AW41" s="4"/>
      <c r="AX41" s="4"/>
    </row>
    <row r="42" spans="1:50" s="375" customFormat="1" ht="20.100000000000001" customHeight="1">
      <c r="A42" s="4"/>
      <c r="B42" s="4"/>
      <c r="S42" s="4"/>
      <c r="T42" s="4"/>
      <c r="AM42" s="4"/>
      <c r="AN42" s="4"/>
      <c r="AR42" s="4"/>
      <c r="AS42" s="4"/>
      <c r="AW42" s="4"/>
      <c r="AX42" s="4"/>
    </row>
    <row r="43" spans="1:50" s="375" customFormat="1" ht="20.100000000000001" customHeight="1">
      <c r="A43" s="4"/>
      <c r="B43" s="4"/>
      <c r="S43" s="4"/>
      <c r="T43" s="4"/>
      <c r="AM43" s="4"/>
      <c r="AN43" s="4"/>
      <c r="AR43" s="4"/>
      <c r="AS43" s="4"/>
      <c r="AW43" s="4"/>
      <c r="AX43" s="4"/>
    </row>
    <row r="44" spans="1:50" s="375" customFormat="1" ht="20.100000000000001" customHeight="1">
      <c r="A44" s="4"/>
      <c r="B44" s="4"/>
      <c r="S44" s="4"/>
      <c r="T44" s="4"/>
      <c r="AM44" s="4"/>
      <c r="AN44" s="4"/>
      <c r="AR44" s="4"/>
      <c r="AS44" s="4"/>
      <c r="AW44" s="4"/>
      <c r="AX44" s="4"/>
    </row>
    <row r="45" spans="1:50" ht="20.100000000000001" customHeight="1"/>
    <row r="46" spans="1:50" ht="20.100000000000001" customHeight="1"/>
    <row r="47" spans="1:50" ht="20.100000000000001" customHeight="1"/>
    <row r="48" spans="1:50" ht="20.100000000000001" customHeight="1"/>
    <row r="49" spans="3:50" ht="20.100000000000001" customHeight="1"/>
    <row r="50" spans="3:50" ht="20.100000000000001" customHeight="1"/>
    <row r="51" spans="3:50" s="1" customFormat="1" ht="20.100000000000001" customHeight="1">
      <c r="C51" s="2"/>
      <c r="D51" s="2"/>
      <c r="E51" s="2"/>
      <c r="F51" s="2"/>
      <c r="G51" s="2"/>
      <c r="H51" s="2"/>
      <c r="I51" s="2"/>
      <c r="J51" s="2"/>
      <c r="K51" s="2"/>
      <c r="L51" s="2"/>
      <c r="M51" s="2"/>
      <c r="N51" s="2"/>
      <c r="O51" s="2"/>
      <c r="P51" s="2"/>
      <c r="Q51" s="2"/>
      <c r="R51" s="2"/>
      <c r="S51" s="4"/>
      <c r="T51" s="4"/>
      <c r="U51" s="2"/>
      <c r="V51" s="2"/>
      <c r="W51" s="2"/>
      <c r="X51" s="2"/>
      <c r="Y51" s="2"/>
      <c r="Z51" s="2"/>
      <c r="AA51" s="2"/>
      <c r="AB51" s="2"/>
      <c r="AC51" s="2"/>
      <c r="AD51" s="2"/>
      <c r="AE51" s="2"/>
      <c r="AF51" s="2"/>
      <c r="AG51" s="2"/>
      <c r="AH51" s="2"/>
      <c r="AI51" s="2"/>
      <c r="AJ51" s="2"/>
      <c r="AK51" s="2"/>
      <c r="AM51" s="4"/>
      <c r="AN51" s="4"/>
      <c r="AR51" s="4"/>
      <c r="AS51" s="4"/>
      <c r="AW51" s="4"/>
      <c r="AX51" s="4"/>
    </row>
    <row r="52" spans="3:50" s="1" customFormat="1" ht="20.100000000000001" customHeight="1">
      <c r="C52" s="2"/>
      <c r="D52" s="2"/>
      <c r="E52" s="2"/>
      <c r="F52" s="2"/>
      <c r="G52" s="2"/>
      <c r="H52" s="2"/>
      <c r="I52" s="2"/>
      <c r="J52" s="2"/>
      <c r="K52" s="2"/>
      <c r="L52" s="2"/>
      <c r="M52" s="2"/>
      <c r="N52" s="2"/>
      <c r="O52" s="2"/>
      <c r="P52" s="2"/>
      <c r="Q52" s="2"/>
      <c r="R52" s="2"/>
      <c r="S52" s="4"/>
      <c r="T52" s="4"/>
      <c r="U52" s="2"/>
      <c r="V52" s="2"/>
      <c r="W52" s="2"/>
      <c r="X52" s="2"/>
      <c r="Y52" s="2"/>
      <c r="Z52" s="2"/>
      <c r="AA52" s="2"/>
      <c r="AB52" s="2"/>
      <c r="AC52" s="2"/>
      <c r="AD52" s="2"/>
      <c r="AE52" s="2"/>
      <c r="AF52" s="2"/>
      <c r="AG52" s="2"/>
      <c r="AH52" s="2"/>
      <c r="AI52" s="2"/>
      <c r="AJ52" s="2"/>
      <c r="AK52" s="2"/>
      <c r="AM52" s="4"/>
      <c r="AN52" s="4"/>
      <c r="AR52" s="4"/>
      <c r="AS52" s="4"/>
      <c r="AW52" s="4"/>
      <c r="AX52" s="4"/>
    </row>
    <row r="53" spans="3:50" s="1" customFormat="1" ht="20.100000000000001" customHeight="1">
      <c r="C53" s="2"/>
      <c r="D53" s="2"/>
      <c r="E53" s="2"/>
      <c r="F53" s="2"/>
      <c r="G53" s="2"/>
      <c r="H53" s="2"/>
      <c r="I53" s="2"/>
      <c r="J53" s="2"/>
      <c r="K53" s="2"/>
      <c r="L53" s="2"/>
      <c r="M53" s="2"/>
      <c r="N53" s="2"/>
      <c r="O53" s="2"/>
      <c r="P53" s="2"/>
      <c r="Q53" s="2"/>
      <c r="R53" s="2"/>
      <c r="S53" s="4"/>
      <c r="T53" s="4"/>
      <c r="U53" s="2"/>
      <c r="V53" s="2"/>
      <c r="W53" s="2"/>
      <c r="X53" s="2"/>
      <c r="Y53" s="2"/>
      <c r="Z53" s="2"/>
      <c r="AA53" s="2"/>
      <c r="AB53" s="2"/>
      <c r="AC53" s="2"/>
      <c r="AD53" s="2"/>
      <c r="AE53" s="2"/>
      <c r="AF53" s="2"/>
      <c r="AG53" s="2"/>
      <c r="AH53" s="2"/>
      <c r="AI53" s="2"/>
      <c r="AJ53" s="2"/>
      <c r="AK53" s="2"/>
      <c r="AM53" s="4"/>
      <c r="AN53" s="4"/>
      <c r="AR53" s="4"/>
      <c r="AS53" s="4"/>
      <c r="AW53" s="4"/>
      <c r="AX53" s="4"/>
    </row>
    <row r="54" spans="3:50" s="1" customFormat="1" ht="20.100000000000001" customHeight="1">
      <c r="C54" s="2"/>
      <c r="D54" s="2"/>
      <c r="E54" s="2"/>
      <c r="F54" s="2"/>
      <c r="G54" s="2"/>
      <c r="H54" s="2"/>
      <c r="I54" s="2"/>
      <c r="J54" s="2"/>
      <c r="K54" s="2"/>
      <c r="L54" s="2"/>
      <c r="M54" s="2"/>
      <c r="N54" s="2"/>
      <c r="O54" s="2"/>
      <c r="P54" s="2"/>
      <c r="Q54" s="2"/>
      <c r="R54" s="2"/>
      <c r="S54" s="4"/>
      <c r="T54" s="4"/>
      <c r="U54" s="2"/>
      <c r="V54" s="2"/>
      <c r="W54" s="2"/>
      <c r="X54" s="2"/>
      <c r="Y54" s="2"/>
      <c r="Z54" s="2"/>
      <c r="AA54" s="2"/>
      <c r="AB54" s="2"/>
      <c r="AC54" s="2"/>
      <c r="AD54" s="2"/>
      <c r="AE54" s="2"/>
      <c r="AF54" s="2"/>
      <c r="AG54" s="2"/>
      <c r="AH54" s="2"/>
      <c r="AI54" s="2"/>
      <c r="AJ54" s="2"/>
      <c r="AK54" s="2"/>
      <c r="AM54" s="4"/>
      <c r="AN54" s="4"/>
      <c r="AR54" s="4"/>
      <c r="AS54" s="4"/>
      <c r="AW54" s="4"/>
      <c r="AX54" s="4"/>
    </row>
    <row r="55" spans="3:50" s="1" customFormat="1" ht="20.100000000000001" customHeight="1">
      <c r="C55" s="2"/>
      <c r="D55" s="2"/>
      <c r="E55" s="2"/>
      <c r="F55" s="2"/>
      <c r="G55" s="2"/>
      <c r="H55" s="2"/>
      <c r="I55" s="2"/>
      <c r="J55" s="2"/>
      <c r="K55" s="2"/>
      <c r="L55" s="2"/>
      <c r="M55" s="2"/>
      <c r="N55" s="2"/>
      <c r="O55" s="2"/>
      <c r="P55" s="2"/>
      <c r="Q55" s="2"/>
      <c r="R55" s="2"/>
      <c r="S55" s="4"/>
      <c r="T55" s="4"/>
      <c r="U55" s="2"/>
      <c r="V55" s="2"/>
      <c r="W55" s="2"/>
      <c r="X55" s="2"/>
      <c r="Y55" s="2"/>
      <c r="Z55" s="2"/>
      <c r="AA55" s="2"/>
      <c r="AB55" s="2"/>
      <c r="AC55" s="2"/>
      <c r="AD55" s="2"/>
      <c r="AE55" s="2"/>
      <c r="AF55" s="2"/>
      <c r="AG55" s="2"/>
      <c r="AH55" s="2"/>
      <c r="AI55" s="2"/>
      <c r="AJ55" s="2"/>
      <c r="AK55" s="2"/>
      <c r="AM55" s="4"/>
      <c r="AN55" s="4"/>
      <c r="AR55" s="4"/>
      <c r="AS55" s="4"/>
      <c r="AW55" s="4"/>
      <c r="AX55" s="4"/>
    </row>
    <row r="56" spans="3:50" s="1" customFormat="1" ht="20.100000000000001" customHeight="1">
      <c r="C56" s="2"/>
      <c r="D56" s="2"/>
      <c r="E56" s="2"/>
      <c r="F56" s="2"/>
      <c r="G56" s="2"/>
      <c r="H56" s="2"/>
      <c r="I56" s="2"/>
      <c r="J56" s="2"/>
      <c r="K56" s="2"/>
      <c r="L56" s="2"/>
      <c r="M56" s="2"/>
      <c r="N56" s="2"/>
      <c r="O56" s="2"/>
      <c r="P56" s="2"/>
      <c r="Q56" s="2"/>
      <c r="R56" s="2"/>
      <c r="S56" s="4"/>
      <c r="T56" s="4"/>
      <c r="U56" s="2"/>
      <c r="V56" s="2"/>
      <c r="W56" s="2"/>
      <c r="X56" s="2"/>
      <c r="Y56" s="2"/>
      <c r="Z56" s="2"/>
      <c r="AA56" s="2"/>
      <c r="AB56" s="2"/>
      <c r="AC56" s="2"/>
      <c r="AD56" s="2"/>
      <c r="AE56" s="2"/>
      <c r="AF56" s="2"/>
      <c r="AG56" s="2"/>
      <c r="AH56" s="2"/>
      <c r="AI56" s="2"/>
      <c r="AJ56" s="2"/>
      <c r="AK56" s="2"/>
      <c r="AM56" s="4"/>
      <c r="AN56" s="4"/>
      <c r="AR56" s="4"/>
      <c r="AS56" s="4"/>
      <c r="AW56" s="4"/>
      <c r="AX56" s="4"/>
    </row>
  </sheetData>
  <customSheetViews>
    <customSheetView guid="{ED9E521F-BC9B-4E88-8A9F-5288A046401B}" scale="70" showPageBreaks="1" showGridLines="0" fitToPage="1" printArea="1" hiddenRows="1">
      <selection activeCell="A12" sqref="A12"/>
      <pageMargins left="0.7" right="0.7" top="0.75" bottom="0.75" header="0.3" footer="0.3"/>
      <pageSetup paperSize="9" scale="45" orientation="landscape" horizontalDpi="4294967294" r:id="rId1"/>
    </customSheetView>
    <customSheetView guid="{634BFE77-A2AA-4FA6-8ED5-F02244B9F10C}" scale="90" showPageBreaks="1" showGridLines="0" fitToPage="1" printArea="1" hiddenRows="1" hiddenColumns="1">
      <pane xSplit="31" ySplit="5" topLeftCell="AL6" activePane="bottomRight" state="frozen"/>
      <selection pane="bottomRight" activeCell="AV32" sqref="AV32"/>
      <pageMargins left="0.7" right="0.7" top="0.75" bottom="0.75" header="0.3" footer="0.3"/>
      <pageSetup paperSize="9" scale="53" orientation="landscape" horizontalDpi="4294967294"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90" showPageBreaks="1" showGridLines="0" fitToPage="1" printArea="1" hiddenRows="1" hiddenColumns="1">
      <pane xSplit="31" ySplit="5" topLeftCell="AL6" activePane="bottomRight" state="frozen"/>
      <selection pane="bottomRight" activeCell="BA12" sqref="BA12"/>
      <pageMargins left="0.7" right="0.7" top="0.75" bottom="0.75" header="0.3" footer="0.3"/>
      <pageSetup paperSize="9" scale="52" orientation="landscape" horizontalDpi="4294967294" r:id="rId3"/>
    </customSheetView>
    <customSheetView guid="{B87BD74C-18F3-4393-BF03-31B25889E08F}" scale="90" showGridLines="0" fitToPage="1" hiddenRows="1" hiddenColumns="1">
      <pane xSplit="31" ySplit="5" topLeftCell="AV6" activePane="bottomRight" state="frozen"/>
      <selection pane="bottomRight" activeCell="BB2" sqref="BB2"/>
      <pageMargins left="0.7" right="0.7" top="0.75" bottom="0.75" header="0.3" footer="0.3"/>
      <pageSetup paperSize="9" scale="53" orientation="landscape" horizontalDpi="4294967294" r:id="rId4"/>
    </customSheetView>
  </customSheetViews>
  <mergeCells count="21">
    <mergeCell ref="AV3:AY3"/>
    <mergeCell ref="AZ3:AZ4"/>
    <mergeCell ref="AU3:AU4"/>
    <mergeCell ref="AF3:AF4"/>
    <mergeCell ref="AG3:AJ3"/>
    <mergeCell ref="AK3:AK4"/>
    <mergeCell ref="AL3:AO3"/>
    <mergeCell ref="AP3:AP4"/>
    <mergeCell ref="AQ3:AT3"/>
    <mergeCell ref="AB3:AE3"/>
    <mergeCell ref="A2:O2"/>
    <mergeCell ref="C3:F3"/>
    <mergeCell ref="G3:G4"/>
    <mergeCell ref="H3:K3"/>
    <mergeCell ref="L3:L4"/>
    <mergeCell ref="M3:P3"/>
    <mergeCell ref="Q3:Q4"/>
    <mergeCell ref="R3:U3"/>
    <mergeCell ref="V3:V4"/>
    <mergeCell ref="W3:Z3"/>
    <mergeCell ref="AA3:AA4"/>
  </mergeCells>
  <pageMargins left="0.7" right="0.7" top="0.75" bottom="0.75" header="0.3" footer="0.3"/>
  <pageSetup paperSize="9" scale="45" orientation="landscape" horizontalDpi="4294967294"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7"/>
  <sheetViews>
    <sheetView showGridLines="0" workbookViewId="0">
      <pane xSplit="2" ySplit="3" topLeftCell="AG4" activePane="bottomRight" state="frozen"/>
      <selection pane="topRight" activeCell="C1" sqref="C1"/>
      <selection pane="bottomLeft" activeCell="A4" sqref="A4"/>
      <selection pane="bottomRight" activeCell="AL15" sqref="AL15"/>
    </sheetView>
  </sheetViews>
  <sheetFormatPr defaultColWidth="9" defaultRowHeight="14.25"/>
  <cols>
    <col min="1" max="1" width="1.625" style="165" customWidth="1"/>
    <col min="2" max="2" width="35" style="112" customWidth="1"/>
    <col min="3" max="3" width="35.125" style="112" customWidth="1"/>
    <col min="4" max="32" width="3.25" style="181" hidden="1" customWidth="1"/>
    <col min="33" max="36" width="8.75" style="112" customWidth="1"/>
    <col min="37" max="37" width="8.75" style="473" customWidth="1"/>
    <col min="38" max="38" width="8.75" style="112" customWidth="1"/>
    <col min="39" max="40" width="8.75" style="165" customWidth="1"/>
    <col min="41" max="41" width="8.75" style="112" customWidth="1"/>
    <col min="42" max="42" width="8.75" style="181" customWidth="1"/>
    <col min="43" max="46" width="8.75" style="112" customWidth="1"/>
    <col min="47" max="47" width="8.75" style="181" customWidth="1"/>
    <col min="48" max="51" width="8.75" style="112" customWidth="1"/>
    <col min="52" max="52" width="8.75" style="181" customWidth="1"/>
    <col min="53" max="16384" width="9" style="112"/>
  </cols>
  <sheetData>
    <row r="1" spans="1:52" s="165" customFormat="1" ht="89.25" customHeight="1" thickBot="1">
      <c r="B1" s="3"/>
      <c r="C1" s="3"/>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K1" s="473"/>
      <c r="AP1" s="181"/>
      <c r="AU1" s="181"/>
      <c r="AZ1" s="181"/>
    </row>
    <row r="2" spans="1:52" ht="20.25" customHeight="1" thickBot="1">
      <c r="A2" s="112"/>
      <c r="B2" s="743"/>
      <c r="C2" s="743"/>
      <c r="D2" s="737"/>
      <c r="E2" s="738"/>
      <c r="F2" s="738"/>
      <c r="G2" s="739"/>
      <c r="H2" s="737"/>
      <c r="I2" s="738"/>
      <c r="J2" s="738"/>
      <c r="K2" s="738"/>
      <c r="L2" s="739"/>
      <c r="M2" s="737"/>
      <c r="N2" s="738"/>
      <c r="O2" s="738"/>
      <c r="P2" s="738"/>
      <c r="Q2" s="739"/>
      <c r="R2" s="737"/>
      <c r="S2" s="738"/>
      <c r="T2" s="738"/>
      <c r="U2" s="738"/>
      <c r="V2" s="739"/>
      <c r="W2" s="737"/>
      <c r="X2" s="738"/>
      <c r="Y2" s="738"/>
      <c r="Z2" s="738"/>
      <c r="AA2" s="739"/>
      <c r="AB2" s="737"/>
      <c r="AC2" s="738"/>
      <c r="AD2" s="738"/>
      <c r="AE2" s="738"/>
      <c r="AF2" s="739"/>
      <c r="AG2" s="725">
        <v>2018</v>
      </c>
      <c r="AH2" s="726"/>
      <c r="AI2" s="726"/>
      <c r="AJ2" s="726"/>
      <c r="AK2" s="741">
        <v>2018</v>
      </c>
      <c r="AL2" s="725">
        <v>2019</v>
      </c>
      <c r="AM2" s="726"/>
      <c r="AN2" s="726"/>
      <c r="AO2" s="726"/>
      <c r="AP2" s="727">
        <v>2019</v>
      </c>
      <c r="AQ2" s="725">
        <v>2020</v>
      </c>
      <c r="AR2" s="726"/>
      <c r="AS2" s="726"/>
      <c r="AT2" s="726"/>
      <c r="AU2" s="727">
        <v>2020</v>
      </c>
      <c r="AV2" s="725">
        <v>2021</v>
      </c>
      <c r="AW2" s="726"/>
      <c r="AX2" s="726"/>
      <c r="AY2" s="726"/>
      <c r="AZ2" s="727">
        <v>2021</v>
      </c>
    </row>
    <row r="3" spans="1:52" s="457" customFormat="1" ht="20.25" customHeight="1" thickBot="1">
      <c r="B3" s="744"/>
      <c r="C3" s="744"/>
      <c r="D3" s="458"/>
      <c r="E3" s="459"/>
      <c r="F3" s="459"/>
      <c r="G3" s="740"/>
      <c r="H3" s="458"/>
      <c r="I3" s="459"/>
      <c r="J3" s="459"/>
      <c r="K3" s="459"/>
      <c r="L3" s="740"/>
      <c r="M3" s="458"/>
      <c r="N3" s="459"/>
      <c r="O3" s="459"/>
      <c r="P3" s="459"/>
      <c r="Q3" s="740"/>
      <c r="R3" s="458"/>
      <c r="S3" s="459"/>
      <c r="T3" s="459"/>
      <c r="U3" s="459"/>
      <c r="V3" s="740"/>
      <c r="W3" s="458"/>
      <c r="X3" s="459"/>
      <c r="Y3" s="459"/>
      <c r="Z3" s="459"/>
      <c r="AA3" s="740"/>
      <c r="AB3" s="458"/>
      <c r="AC3" s="459"/>
      <c r="AD3" s="459"/>
      <c r="AE3" s="459"/>
      <c r="AF3" s="740"/>
      <c r="AG3" s="480" t="s">
        <v>408</v>
      </c>
      <c r="AH3" s="481" t="s">
        <v>409</v>
      </c>
      <c r="AI3" s="481" t="s">
        <v>410</v>
      </c>
      <c r="AJ3" s="481" t="s">
        <v>411</v>
      </c>
      <c r="AK3" s="742"/>
      <c r="AL3" s="480" t="s">
        <v>408</v>
      </c>
      <c r="AM3" s="481" t="s">
        <v>409</v>
      </c>
      <c r="AN3" s="481" t="s">
        <v>410</v>
      </c>
      <c r="AO3" s="481" t="s">
        <v>411</v>
      </c>
      <c r="AP3" s="728"/>
      <c r="AQ3" s="480" t="s">
        <v>408</v>
      </c>
      <c r="AR3" s="481" t="s">
        <v>409</v>
      </c>
      <c r="AS3" s="481" t="s">
        <v>410</v>
      </c>
      <c r="AT3" s="481" t="s">
        <v>411</v>
      </c>
      <c r="AU3" s="728"/>
      <c r="AV3" s="480" t="s">
        <v>408</v>
      </c>
      <c r="AW3" s="481" t="s">
        <v>409</v>
      </c>
      <c r="AX3" s="481" t="s">
        <v>410</v>
      </c>
      <c r="AY3" s="481" t="s">
        <v>411</v>
      </c>
      <c r="AZ3" s="728"/>
    </row>
    <row r="4" spans="1:52" s="181" customFormat="1" ht="20.25" customHeight="1" thickBot="1">
      <c r="B4" s="484" t="s">
        <v>457</v>
      </c>
      <c r="C4" s="485" t="s">
        <v>458</v>
      </c>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6"/>
      <c r="AH4" s="486"/>
      <c r="AI4" s="486"/>
      <c r="AJ4" s="486"/>
      <c r="AK4" s="492"/>
      <c r="AL4" s="486"/>
      <c r="AM4" s="486"/>
      <c r="AN4" s="486"/>
      <c r="AO4" s="486"/>
      <c r="AP4" s="492"/>
      <c r="AQ4" s="486"/>
      <c r="AR4" s="486"/>
      <c r="AS4" s="486"/>
      <c r="AT4" s="486"/>
      <c r="AU4" s="492"/>
      <c r="AV4" s="486"/>
      <c r="AW4" s="486"/>
      <c r="AX4" s="486"/>
      <c r="AY4" s="486"/>
      <c r="AZ4" s="492"/>
    </row>
    <row r="5" spans="1:52" ht="25.5" customHeight="1" thickBot="1">
      <c r="A5" s="112"/>
      <c r="B5" s="487" t="s">
        <v>459</v>
      </c>
      <c r="C5" s="487" t="s">
        <v>460</v>
      </c>
      <c r="D5" s="488"/>
      <c r="E5" s="488"/>
      <c r="F5" s="489"/>
      <c r="G5" s="490"/>
      <c r="H5" s="488"/>
      <c r="I5" s="488"/>
      <c r="J5" s="488"/>
      <c r="K5" s="489"/>
      <c r="L5" s="490"/>
      <c r="M5" s="488"/>
      <c r="N5" s="488"/>
      <c r="O5" s="488"/>
      <c r="P5" s="489"/>
      <c r="Q5" s="490"/>
      <c r="R5" s="488"/>
      <c r="S5" s="488"/>
      <c r="T5" s="488"/>
      <c r="U5" s="489"/>
      <c r="V5" s="490"/>
      <c r="W5" s="488"/>
      <c r="X5" s="488"/>
      <c r="Y5" s="488"/>
      <c r="Z5" s="489"/>
      <c r="AA5" s="490"/>
      <c r="AB5" s="488"/>
      <c r="AC5" s="488"/>
      <c r="AD5" s="488"/>
      <c r="AE5" s="489"/>
      <c r="AF5" s="490"/>
      <c r="AG5" s="491">
        <v>0.2392</v>
      </c>
      <c r="AH5" s="488">
        <v>0.24160000000000001</v>
      </c>
      <c r="AI5" s="488">
        <v>0.25054333360988129</v>
      </c>
      <c r="AJ5" s="488">
        <v>0.24169975469679564</v>
      </c>
      <c r="AK5" s="505">
        <v>0.24299999999999999</v>
      </c>
      <c r="AL5" s="491">
        <v>0.23364792536680987</v>
      </c>
      <c r="AM5" s="488">
        <v>0.24935000000000002</v>
      </c>
      <c r="AN5" s="488">
        <v>0.24822427628137333</v>
      </c>
      <c r="AO5" s="488">
        <v>0.24182527254608499</v>
      </c>
      <c r="AP5" s="505">
        <v>0.2429</v>
      </c>
      <c r="AQ5" s="491">
        <v>0.23250381468797382</v>
      </c>
      <c r="AR5" s="488">
        <v>0.23040912825290802</v>
      </c>
      <c r="AS5" s="488">
        <v>0.24614294127335679</v>
      </c>
      <c r="AT5" s="489">
        <v>0.24959999999999999</v>
      </c>
      <c r="AU5" s="505">
        <v>0.2394</v>
      </c>
      <c r="AV5" s="488">
        <v>0.24060000000000001</v>
      </c>
      <c r="AW5" s="488">
        <v>0.24399999999999999</v>
      </c>
      <c r="AX5" s="488"/>
      <c r="AY5" s="489"/>
      <c r="AZ5" s="505"/>
    </row>
    <row r="6" spans="1:52" s="256" customFormat="1" ht="25.5" customHeight="1">
      <c r="B6" s="257" t="s">
        <v>461</v>
      </c>
      <c r="C6" s="257" t="s">
        <v>462</v>
      </c>
      <c r="D6" s="171"/>
      <c r="E6" s="171"/>
      <c r="F6" s="167"/>
      <c r="G6" s="462"/>
      <c r="H6" s="171"/>
      <c r="I6" s="171"/>
      <c r="J6" s="171"/>
      <c r="K6" s="167"/>
      <c r="L6" s="462"/>
      <c r="M6" s="171"/>
      <c r="N6" s="171"/>
      <c r="O6" s="171"/>
      <c r="P6" s="167"/>
      <c r="Q6" s="462"/>
      <c r="R6" s="171"/>
      <c r="S6" s="171"/>
      <c r="T6" s="171"/>
      <c r="U6" s="167"/>
      <c r="V6" s="462"/>
      <c r="W6" s="171"/>
      <c r="X6" s="171"/>
      <c r="Y6" s="171"/>
      <c r="Z6" s="167"/>
      <c r="AA6" s="462"/>
      <c r="AB6" s="171"/>
      <c r="AC6" s="171"/>
      <c r="AD6" s="171"/>
      <c r="AE6" s="167"/>
      <c r="AF6" s="462"/>
      <c r="AG6" s="172">
        <v>0.1187</v>
      </c>
      <c r="AH6" s="171">
        <v>0.1114</v>
      </c>
      <c r="AI6" s="171">
        <v>0.1133</v>
      </c>
      <c r="AJ6" s="171">
        <v>0.11070000000000001</v>
      </c>
      <c r="AK6" s="506">
        <v>0.1137</v>
      </c>
      <c r="AL6" s="172">
        <v>0.112</v>
      </c>
      <c r="AM6" s="171">
        <v>0.1138</v>
      </c>
      <c r="AN6" s="171">
        <v>0.1099</v>
      </c>
      <c r="AO6" s="171">
        <v>0.1043</v>
      </c>
      <c r="AP6" s="506">
        <v>0.1099</v>
      </c>
      <c r="AQ6" s="172">
        <v>9.9000000000000005E-2</v>
      </c>
      <c r="AR6" s="171">
        <v>9.1800000000000007E-2</v>
      </c>
      <c r="AS6" s="171">
        <v>9.3799999999999994E-2</v>
      </c>
      <c r="AT6" s="258">
        <v>9.5500000000000002E-2</v>
      </c>
      <c r="AU6" s="506">
        <v>9.5100000000000004E-2</v>
      </c>
      <c r="AV6" s="171">
        <v>9.2999999999999999E-2</v>
      </c>
      <c r="AW6" s="171">
        <v>8.8999999999999996E-2</v>
      </c>
      <c r="AX6" s="171"/>
      <c r="AY6" s="258"/>
      <c r="AZ6" s="506"/>
    </row>
    <row r="7" spans="1:52" s="256" customFormat="1" ht="25.5" customHeight="1">
      <c r="B7" s="257" t="s">
        <v>463</v>
      </c>
      <c r="C7" s="259" t="s">
        <v>464</v>
      </c>
      <c r="D7" s="171"/>
      <c r="E7" s="171"/>
      <c r="F7" s="258"/>
      <c r="G7" s="462"/>
      <c r="H7" s="171"/>
      <c r="I7" s="171"/>
      <c r="J7" s="171"/>
      <c r="K7" s="258"/>
      <c r="L7" s="462"/>
      <c r="M7" s="171"/>
      <c r="N7" s="171"/>
      <c r="O7" s="171"/>
      <c r="P7" s="258"/>
      <c r="Q7" s="462"/>
      <c r="R7" s="171"/>
      <c r="S7" s="171"/>
      <c r="T7" s="171"/>
      <c r="U7" s="258"/>
      <c r="V7" s="462"/>
      <c r="W7" s="171"/>
      <c r="X7" s="171"/>
      <c r="Y7" s="171"/>
      <c r="Z7" s="258"/>
      <c r="AA7" s="462"/>
      <c r="AB7" s="171"/>
      <c r="AC7" s="171"/>
      <c r="AD7" s="171"/>
      <c r="AE7" s="258"/>
      <c r="AF7" s="462"/>
      <c r="AG7" s="172">
        <v>0.1205</v>
      </c>
      <c r="AH7" s="171">
        <v>0.13009999999999999</v>
      </c>
      <c r="AI7" s="171">
        <v>0.13726561528746634</v>
      </c>
      <c r="AJ7" s="171">
        <v>0.13099975469679564</v>
      </c>
      <c r="AK7" s="507">
        <v>0.12939999999999999</v>
      </c>
      <c r="AL7" s="172">
        <v>0.1216</v>
      </c>
      <c r="AM7" s="171">
        <v>0.13550000000000001</v>
      </c>
      <c r="AN7" s="171">
        <v>0.13844127269311104</v>
      </c>
      <c r="AO7" s="171">
        <v>0.13762187191363667</v>
      </c>
      <c r="AP7" s="507">
        <v>0.13300000000000001</v>
      </c>
      <c r="AQ7" s="172">
        <v>0.13355841310577754</v>
      </c>
      <c r="AR7" s="171">
        <v>0.13863586912018128</v>
      </c>
      <c r="AS7" s="171">
        <v>0.15230242840291572</v>
      </c>
      <c r="AT7" s="258">
        <v>0.15409999999999999</v>
      </c>
      <c r="AU7" s="507">
        <v>0.14419999999999999</v>
      </c>
      <c r="AV7" s="171">
        <v>0.14760000000000001</v>
      </c>
      <c r="AW7" s="171">
        <v>0.155</v>
      </c>
      <c r="AX7" s="171"/>
      <c r="AY7" s="258"/>
      <c r="AZ7" s="507"/>
    </row>
    <row r="8" spans="1:52" s="168" customFormat="1" ht="25.5" customHeight="1">
      <c r="B8" s="169" t="s">
        <v>465</v>
      </c>
      <c r="C8" s="169" t="s">
        <v>466</v>
      </c>
      <c r="D8" s="463"/>
      <c r="E8" s="463"/>
      <c r="F8" s="170"/>
      <c r="G8" s="464"/>
      <c r="H8" s="463"/>
      <c r="I8" s="463"/>
      <c r="J8" s="463"/>
      <c r="K8" s="170"/>
      <c r="L8" s="464"/>
      <c r="M8" s="463"/>
      <c r="N8" s="463"/>
      <c r="O8" s="463"/>
      <c r="P8" s="170"/>
      <c r="Q8" s="464"/>
      <c r="R8" s="463"/>
      <c r="S8" s="463"/>
      <c r="T8" s="463"/>
      <c r="U8" s="170"/>
      <c r="V8" s="464"/>
      <c r="W8" s="463"/>
      <c r="X8" s="463"/>
      <c r="Y8" s="463"/>
      <c r="Z8" s="170"/>
      <c r="AA8" s="464"/>
      <c r="AB8" s="463"/>
      <c r="AC8" s="463"/>
      <c r="AD8" s="463"/>
      <c r="AE8" s="170"/>
      <c r="AF8" s="464"/>
      <c r="AG8" s="171">
        <v>0.27055000000000001</v>
      </c>
      <c r="AH8" s="171">
        <v>0.26307285482727094</v>
      </c>
      <c r="AI8" s="171">
        <v>0.27107489405369956</v>
      </c>
      <c r="AJ8" s="171">
        <v>0.2799015081566204</v>
      </c>
      <c r="AK8" s="507">
        <v>0.27143265306764186</v>
      </c>
      <c r="AL8" s="172">
        <v>0.27277595774888108</v>
      </c>
      <c r="AM8" s="172">
        <v>0.26956701442344921</v>
      </c>
      <c r="AN8" s="172">
        <v>0.25968869690122404</v>
      </c>
      <c r="AO8" s="172">
        <v>0.26098146875847023</v>
      </c>
      <c r="AP8" s="507">
        <v>0.2659147690729412</v>
      </c>
      <c r="AQ8" s="172">
        <v>0.2642789018622998</v>
      </c>
      <c r="AR8" s="172">
        <v>0.27327354861641062</v>
      </c>
      <c r="AS8" s="172">
        <v>0.25867740306709436</v>
      </c>
      <c r="AT8" s="172">
        <v>0.26550000000000001</v>
      </c>
      <c r="AU8" s="507">
        <v>0.26569999999999999</v>
      </c>
      <c r="AV8" s="171">
        <v>0.25788638540183806</v>
      </c>
      <c r="AW8" s="172">
        <v>0.254</v>
      </c>
      <c r="AX8" s="172"/>
      <c r="AY8" s="172"/>
      <c r="AZ8" s="507"/>
    </row>
    <row r="9" spans="1:52" s="168" customFormat="1" ht="25.5" customHeight="1" thickBot="1">
      <c r="B9" s="169" t="s">
        <v>467</v>
      </c>
      <c r="C9" s="169" t="s">
        <v>468</v>
      </c>
      <c r="D9" s="463"/>
      <c r="E9" s="463"/>
      <c r="F9" s="170"/>
      <c r="G9" s="464"/>
      <c r="H9" s="463"/>
      <c r="I9" s="463"/>
      <c r="J9" s="463"/>
      <c r="K9" s="170"/>
      <c r="L9" s="464"/>
      <c r="M9" s="463"/>
      <c r="N9" s="463"/>
      <c r="O9" s="463"/>
      <c r="P9" s="170"/>
      <c r="Q9" s="464"/>
      <c r="R9" s="463"/>
      <c r="S9" s="463"/>
      <c r="T9" s="463"/>
      <c r="U9" s="170"/>
      <c r="V9" s="464"/>
      <c r="W9" s="463"/>
      <c r="X9" s="463"/>
      <c r="Y9" s="463"/>
      <c r="Z9" s="170"/>
      <c r="AA9" s="464"/>
      <c r="AB9" s="463"/>
      <c r="AC9" s="463"/>
      <c r="AD9" s="463"/>
      <c r="AE9" s="170"/>
      <c r="AF9" s="464"/>
      <c r="AG9" s="171">
        <v>0.21878</v>
      </c>
      <c r="AH9" s="171">
        <v>0.22343613004529736</v>
      </c>
      <c r="AI9" s="171">
        <v>0.20803558567084823</v>
      </c>
      <c r="AJ9" s="171">
        <v>0.20762155694075871</v>
      </c>
      <c r="AK9" s="508">
        <v>0.21439941200856841</v>
      </c>
      <c r="AL9" s="172">
        <v>0.21973490554611111</v>
      </c>
      <c r="AM9" s="172">
        <v>0.20743316354782532</v>
      </c>
      <c r="AN9" s="172">
        <v>0.21547125280795693</v>
      </c>
      <c r="AO9" s="172">
        <v>0.21739933081273113</v>
      </c>
      <c r="AP9" s="508">
        <v>0.21521707371036924</v>
      </c>
      <c r="AQ9" s="172">
        <v>0.21964706993225061</v>
      </c>
      <c r="AR9" s="172">
        <v>0.19273450590189634</v>
      </c>
      <c r="AS9" s="172">
        <v>0.19040866414911037</v>
      </c>
      <c r="AT9" s="172">
        <v>0.19350000000000001</v>
      </c>
      <c r="AU9" s="508">
        <v>0.19969999999999999</v>
      </c>
      <c r="AV9" s="171">
        <v>0.19465842908482034</v>
      </c>
      <c r="AW9" s="172">
        <v>0.19600000000000001</v>
      </c>
      <c r="AX9" s="172"/>
      <c r="AY9" s="172"/>
      <c r="AZ9" s="508"/>
    </row>
    <row r="10" spans="1:52" s="181" customFormat="1" ht="20.25" customHeight="1">
      <c r="B10" s="479" t="s">
        <v>469</v>
      </c>
      <c r="C10" s="461" t="s">
        <v>470</v>
      </c>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76"/>
      <c r="AH10" s="476"/>
      <c r="AI10" s="476"/>
      <c r="AJ10" s="476"/>
      <c r="AK10" s="493"/>
      <c r="AL10" s="476"/>
      <c r="AM10" s="476"/>
      <c r="AN10" s="476"/>
      <c r="AO10" s="476"/>
      <c r="AP10" s="493"/>
      <c r="AQ10" s="476"/>
      <c r="AR10" s="476"/>
      <c r="AS10" s="476"/>
      <c r="AT10" s="476"/>
      <c r="AU10" s="493"/>
      <c r="AV10" s="476"/>
      <c r="AW10" s="476"/>
      <c r="AX10" s="476"/>
      <c r="AY10" s="476"/>
      <c r="AZ10" s="493"/>
    </row>
    <row r="11" spans="1:52" ht="33" thickBot="1">
      <c r="A11" s="112"/>
      <c r="B11" s="173" t="s">
        <v>471</v>
      </c>
      <c r="C11" s="173" t="s">
        <v>472</v>
      </c>
      <c r="D11" s="175"/>
      <c r="E11" s="175"/>
      <c r="F11" s="176"/>
      <c r="G11" s="465"/>
      <c r="H11" s="175"/>
      <c r="I11" s="175"/>
      <c r="J11" s="175"/>
      <c r="K11" s="176"/>
      <c r="L11" s="465"/>
      <c r="M11" s="175"/>
      <c r="N11" s="175"/>
      <c r="O11" s="175"/>
      <c r="P11" s="176"/>
      <c r="Q11" s="465"/>
      <c r="R11" s="175"/>
      <c r="S11" s="175"/>
      <c r="T11" s="175"/>
      <c r="U11" s="176"/>
      <c r="V11" s="465"/>
      <c r="W11" s="175"/>
      <c r="X11" s="175"/>
      <c r="Y11" s="175"/>
      <c r="Z11" s="176"/>
      <c r="AA11" s="465"/>
      <c r="AB11" s="175"/>
      <c r="AC11" s="175"/>
      <c r="AD11" s="175"/>
      <c r="AE11" s="176"/>
      <c r="AF11" s="465"/>
      <c r="AG11" s="174">
        <v>996.4</v>
      </c>
      <c r="AH11" s="175">
        <v>1201.9000000000001</v>
      </c>
      <c r="AI11" s="175">
        <v>871.7</v>
      </c>
      <c r="AJ11" s="175">
        <v>1328.2</v>
      </c>
      <c r="AK11" s="494">
        <v>4398.2</v>
      </c>
      <c r="AL11" s="174">
        <v>965.6</v>
      </c>
      <c r="AM11" s="175">
        <v>1203.5999999999999</v>
      </c>
      <c r="AN11" s="175">
        <v>888.2</v>
      </c>
      <c r="AO11" s="175">
        <v>1324.059</v>
      </c>
      <c r="AP11" s="494">
        <v>4381.5060000000003</v>
      </c>
      <c r="AQ11" s="174">
        <v>933.12800000000004</v>
      </c>
      <c r="AR11" s="175">
        <v>778.1</v>
      </c>
      <c r="AS11" s="175">
        <v>868.7</v>
      </c>
      <c r="AT11" s="175">
        <v>1356.0889999999999</v>
      </c>
      <c r="AU11" s="494">
        <v>3938.3719999999998</v>
      </c>
      <c r="AV11" s="175">
        <v>921.14599999999996</v>
      </c>
      <c r="AW11" s="175">
        <v>1156</v>
      </c>
      <c r="AX11" s="175"/>
      <c r="AY11" s="175"/>
      <c r="AZ11" s="494"/>
    </row>
    <row r="12" spans="1:52" s="498" customFormat="1" ht="33" thickBot="1">
      <c r="B12" s="499" t="s">
        <v>473</v>
      </c>
      <c r="C12" s="499" t="s">
        <v>474</v>
      </c>
      <c r="D12" s="500"/>
      <c r="E12" s="500"/>
      <c r="F12" s="501"/>
      <c r="G12" s="502"/>
      <c r="H12" s="500"/>
      <c r="I12" s="500"/>
      <c r="J12" s="500"/>
      <c r="K12" s="501"/>
      <c r="L12" s="502"/>
      <c r="M12" s="500"/>
      <c r="N12" s="500"/>
      <c r="O12" s="500"/>
      <c r="P12" s="501"/>
      <c r="Q12" s="502"/>
      <c r="R12" s="500"/>
      <c r="S12" s="500"/>
      <c r="T12" s="500"/>
      <c r="U12" s="501"/>
      <c r="V12" s="502"/>
      <c r="W12" s="500"/>
      <c r="X12" s="500"/>
      <c r="Y12" s="500"/>
      <c r="Z12" s="501"/>
      <c r="AA12" s="502"/>
      <c r="AB12" s="500"/>
      <c r="AC12" s="500"/>
      <c r="AD12" s="500"/>
      <c r="AE12" s="501"/>
      <c r="AF12" s="502"/>
      <c r="AG12" s="503">
        <v>269.10000000000002</v>
      </c>
      <c r="AH12" s="500">
        <v>321.39999999999998</v>
      </c>
      <c r="AI12" s="500">
        <v>240.8</v>
      </c>
      <c r="AJ12" s="500">
        <v>369.9</v>
      </c>
      <c r="AK12" s="504">
        <v>1201.3</v>
      </c>
      <c r="AL12" s="503">
        <v>270.60000000000002</v>
      </c>
      <c r="AM12" s="500">
        <v>324.89999999999998</v>
      </c>
      <c r="AN12" s="500">
        <v>249.9</v>
      </c>
      <c r="AO12" s="500">
        <v>379</v>
      </c>
      <c r="AP12" s="504">
        <v>1224.4000000000001</v>
      </c>
      <c r="AQ12" s="503">
        <v>262.54000000000002</v>
      </c>
      <c r="AR12" s="500">
        <v>212.9</v>
      </c>
      <c r="AS12" s="500">
        <v>252</v>
      </c>
      <c r="AT12" s="501">
        <v>396</v>
      </c>
      <c r="AU12" s="504">
        <v>1123.538</v>
      </c>
      <c r="AV12" s="500">
        <v>271.495</v>
      </c>
      <c r="AW12" s="500">
        <v>330</v>
      </c>
      <c r="AX12" s="500"/>
      <c r="AY12" s="501"/>
      <c r="AZ12" s="504"/>
    </row>
    <row r="13" spans="1:52" ht="33" thickBot="1">
      <c r="A13" s="112"/>
      <c r="B13" s="487" t="s">
        <v>475</v>
      </c>
      <c r="C13" s="487" t="s">
        <v>476</v>
      </c>
      <c r="D13" s="488"/>
      <c r="E13" s="488"/>
      <c r="F13" s="489"/>
      <c r="G13" s="490"/>
      <c r="H13" s="488"/>
      <c r="I13" s="488"/>
      <c r="J13" s="488"/>
      <c r="K13" s="489"/>
      <c r="L13" s="490"/>
      <c r="M13" s="488"/>
      <c r="N13" s="488"/>
      <c r="O13" s="488"/>
      <c r="P13" s="489"/>
      <c r="Q13" s="490"/>
      <c r="R13" s="488"/>
      <c r="S13" s="488"/>
      <c r="T13" s="488"/>
      <c r="U13" s="489"/>
      <c r="V13" s="490"/>
      <c r="W13" s="488"/>
      <c r="X13" s="488"/>
      <c r="Y13" s="488"/>
      <c r="Z13" s="489"/>
      <c r="AA13" s="490"/>
      <c r="AB13" s="488"/>
      <c r="AC13" s="488"/>
      <c r="AD13" s="488"/>
      <c r="AE13" s="489"/>
      <c r="AF13" s="490"/>
      <c r="AG13" s="495">
        <f>AG12/AG11</f>
        <v>0.27007226013649138</v>
      </c>
      <c r="AH13" s="496">
        <f t="shared" ref="AH13:AT13" si="0">AH12/AH11</f>
        <v>0.26740993427073795</v>
      </c>
      <c r="AI13" s="496">
        <f t="shared" si="0"/>
        <v>0.27624182631639327</v>
      </c>
      <c r="AJ13" s="496">
        <f t="shared" si="0"/>
        <v>0.27849721427495855</v>
      </c>
      <c r="AK13" s="492">
        <f t="shared" si="0"/>
        <v>0.27313446409894959</v>
      </c>
      <c r="AL13" s="495">
        <f t="shared" si="0"/>
        <v>0.28024026512013256</v>
      </c>
      <c r="AM13" s="496">
        <f t="shared" si="0"/>
        <v>0.26994017946161514</v>
      </c>
      <c r="AN13" s="496">
        <f t="shared" si="0"/>
        <v>0.28135555055167755</v>
      </c>
      <c r="AO13" s="496">
        <f t="shared" si="0"/>
        <v>0.28624102098169341</v>
      </c>
      <c r="AP13" s="492">
        <f t="shared" si="0"/>
        <v>0.27944729506247395</v>
      </c>
      <c r="AQ13" s="495">
        <f t="shared" si="0"/>
        <v>0.28135475518899872</v>
      </c>
      <c r="AR13" s="496">
        <f t="shared" si="0"/>
        <v>0.27361521655314225</v>
      </c>
      <c r="AS13" s="496">
        <f t="shared" si="0"/>
        <v>0.29008863819500402</v>
      </c>
      <c r="AT13" s="497">
        <f t="shared" si="0"/>
        <v>0.29201623197297522</v>
      </c>
      <c r="AU13" s="492">
        <f>AU12/AU11</f>
        <v>0.28527980597058888</v>
      </c>
      <c r="AV13" s="496">
        <f t="shared" ref="AV13:AY13" si="1">AV12/AV11</f>
        <v>0.29473612217824319</v>
      </c>
      <c r="AW13" s="496">
        <f>ROUNDUP(AW12/AW11,3)</f>
        <v>0.28599999999999998</v>
      </c>
      <c r="AX13" s="496" t="e">
        <f t="shared" si="1"/>
        <v>#DIV/0!</v>
      </c>
      <c r="AY13" s="497" t="e">
        <f t="shared" si="1"/>
        <v>#DIV/0!</v>
      </c>
      <c r="AZ13" s="492" t="e">
        <f>AZ12/AZ11</f>
        <v>#DIV/0!</v>
      </c>
    </row>
    <row r="14" spans="1:52" s="181" customFormat="1" ht="24.75" customHeight="1">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9"/>
      <c r="AH14" s="179"/>
      <c r="AI14" s="179"/>
      <c r="AJ14" s="179"/>
      <c r="AK14" s="180"/>
      <c r="AL14" s="179"/>
      <c r="AM14" s="179"/>
      <c r="AN14" s="179"/>
      <c r="AO14" s="179"/>
      <c r="AP14" s="179"/>
      <c r="AQ14" s="179"/>
      <c r="AR14" s="179"/>
      <c r="AS14" s="179"/>
      <c r="AT14" s="179"/>
      <c r="AU14" s="179"/>
      <c r="AV14" s="277"/>
      <c r="AW14" s="179"/>
      <c r="AX14" s="179"/>
      <c r="AY14" s="179"/>
      <c r="AZ14" s="179"/>
    </row>
    <row r="15" spans="1:52" s="165" customFormat="1" ht="158.25" customHeight="1">
      <c r="B15" s="182" t="s">
        <v>477</v>
      </c>
      <c r="C15" s="182" t="s">
        <v>478</v>
      </c>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P15" s="181"/>
      <c r="AU15" s="181"/>
      <c r="AV15" s="278"/>
      <c r="AZ15" s="181"/>
    </row>
    <row r="16" spans="1:52" s="165" customFormat="1">
      <c r="B16" s="183"/>
      <c r="C16" s="183"/>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183"/>
      <c r="AH16" s="183"/>
      <c r="AI16" s="183"/>
      <c r="AK16" s="473"/>
      <c r="AP16" s="181"/>
      <c r="AU16" s="181"/>
      <c r="AZ16" s="181"/>
    </row>
    <row r="17" spans="2:52" s="184" customFormat="1" ht="27.75" customHeight="1">
      <c r="B17" s="509" t="s">
        <v>479</v>
      </c>
      <c r="C17" s="509" t="s">
        <v>480</v>
      </c>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3"/>
      <c r="AH17" s="3"/>
      <c r="AI17" s="3"/>
      <c r="AJ17" s="165"/>
      <c r="AK17" s="473"/>
      <c r="AL17" s="165"/>
      <c r="AM17" s="165"/>
      <c r="AN17" s="165"/>
      <c r="AO17" s="165"/>
      <c r="AP17" s="181"/>
      <c r="AU17" s="478"/>
      <c r="AZ17" s="478"/>
    </row>
    <row r="18" spans="2:52" s="184" customFormat="1" ht="27.75" customHeight="1" thickBot="1">
      <c r="B18" s="185" t="s">
        <v>481</v>
      </c>
      <c r="C18" s="185" t="s">
        <v>482</v>
      </c>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3"/>
      <c r="AH18" s="3"/>
      <c r="AI18" s="3"/>
      <c r="AJ18" s="165"/>
      <c r="AK18" s="473"/>
      <c r="AL18" s="165"/>
      <c r="AM18" s="165"/>
      <c r="AN18" s="165"/>
      <c r="AO18" s="165"/>
      <c r="AP18" s="181"/>
      <c r="AU18" s="478"/>
      <c r="AZ18" s="478"/>
    </row>
    <row r="19" spans="2:52" s="514" customFormat="1" ht="20.25" customHeight="1" thickBot="1">
      <c r="B19" s="729" t="s">
        <v>483</v>
      </c>
      <c r="C19" s="735" t="s">
        <v>484</v>
      </c>
      <c r="D19" s="731"/>
      <c r="E19" s="732"/>
      <c r="F19" s="732"/>
      <c r="G19" s="733"/>
      <c r="H19" s="731"/>
      <c r="I19" s="732"/>
      <c r="J19" s="732"/>
      <c r="K19" s="732"/>
      <c r="L19" s="733"/>
      <c r="M19" s="731"/>
      <c r="N19" s="732"/>
      <c r="O19" s="732"/>
      <c r="P19" s="732"/>
      <c r="Q19" s="733"/>
      <c r="R19" s="731"/>
      <c r="S19" s="732"/>
      <c r="T19" s="732"/>
      <c r="U19" s="732"/>
      <c r="V19" s="733"/>
      <c r="W19" s="731"/>
      <c r="X19" s="732"/>
      <c r="Y19" s="732"/>
      <c r="Z19" s="732"/>
      <c r="AA19" s="733"/>
      <c r="AB19" s="731"/>
      <c r="AC19" s="732"/>
      <c r="AD19" s="732"/>
      <c r="AE19" s="732"/>
      <c r="AF19" s="733"/>
      <c r="AG19" s="725">
        <v>2018</v>
      </c>
      <c r="AH19" s="726"/>
      <c r="AI19" s="726"/>
      <c r="AJ19" s="726"/>
      <c r="AK19" s="727">
        <v>2018</v>
      </c>
      <c r="AL19" s="725">
        <v>2019</v>
      </c>
      <c r="AM19" s="726"/>
      <c r="AN19" s="726"/>
      <c r="AO19" s="726"/>
      <c r="AP19" s="727">
        <v>2019</v>
      </c>
      <c r="AQ19" s="725">
        <v>2020</v>
      </c>
      <c r="AR19" s="726"/>
      <c r="AS19" s="726"/>
      <c r="AT19" s="726"/>
      <c r="AU19" s="727">
        <v>2020</v>
      </c>
      <c r="AV19" s="725">
        <f>AV2</f>
        <v>2021</v>
      </c>
      <c r="AW19" s="726"/>
      <c r="AX19" s="726"/>
      <c r="AY19" s="726"/>
      <c r="AZ19" s="727">
        <v>2021</v>
      </c>
    </row>
    <row r="20" spans="2:52" s="515" customFormat="1" ht="20.25" customHeight="1" thickBot="1">
      <c r="B20" s="730"/>
      <c r="C20" s="736"/>
      <c r="D20" s="482"/>
      <c r="E20" s="483"/>
      <c r="F20" s="483"/>
      <c r="G20" s="734"/>
      <c r="H20" s="482"/>
      <c r="I20" s="483"/>
      <c r="J20" s="483"/>
      <c r="K20" s="483"/>
      <c r="L20" s="734"/>
      <c r="M20" s="482"/>
      <c r="N20" s="483"/>
      <c r="O20" s="483"/>
      <c r="P20" s="483"/>
      <c r="Q20" s="734"/>
      <c r="R20" s="482"/>
      <c r="S20" s="483"/>
      <c r="T20" s="483"/>
      <c r="U20" s="483"/>
      <c r="V20" s="734"/>
      <c r="W20" s="482"/>
      <c r="X20" s="483"/>
      <c r="Y20" s="483"/>
      <c r="Z20" s="483"/>
      <c r="AA20" s="734"/>
      <c r="AB20" s="482"/>
      <c r="AC20" s="483"/>
      <c r="AD20" s="483"/>
      <c r="AE20" s="483"/>
      <c r="AF20" s="734"/>
      <c r="AG20" s="480" t="s">
        <v>408</v>
      </c>
      <c r="AH20" s="481" t="s">
        <v>409</v>
      </c>
      <c r="AI20" s="481" t="s">
        <v>410</v>
      </c>
      <c r="AJ20" s="481" t="s">
        <v>411</v>
      </c>
      <c r="AK20" s="728"/>
      <c r="AL20" s="480" t="s">
        <v>408</v>
      </c>
      <c r="AM20" s="481" t="s">
        <v>409</v>
      </c>
      <c r="AN20" s="481" t="s">
        <v>410</v>
      </c>
      <c r="AO20" s="481" t="s">
        <v>411</v>
      </c>
      <c r="AP20" s="728"/>
      <c r="AQ20" s="480" t="s">
        <v>408</v>
      </c>
      <c r="AR20" s="481" t="s">
        <v>409</v>
      </c>
      <c r="AS20" s="481" t="s">
        <v>410</v>
      </c>
      <c r="AT20" s="481" t="s">
        <v>411</v>
      </c>
      <c r="AU20" s="728"/>
      <c r="AV20" s="480" t="s">
        <v>408</v>
      </c>
      <c r="AW20" s="481" t="s">
        <v>409</v>
      </c>
      <c r="AX20" s="481" t="s">
        <v>410</v>
      </c>
      <c r="AY20" s="481" t="s">
        <v>411</v>
      </c>
      <c r="AZ20" s="728"/>
    </row>
    <row r="21" spans="2:52" s="191" customFormat="1" ht="23.1" customHeight="1">
      <c r="B21" s="186" t="s">
        <v>485</v>
      </c>
      <c r="C21" s="186" t="s">
        <v>486</v>
      </c>
      <c r="D21" s="188"/>
      <c r="E21" s="188"/>
      <c r="F21" s="188"/>
      <c r="G21" s="466"/>
      <c r="H21" s="188"/>
      <c r="I21" s="188"/>
      <c r="J21" s="188"/>
      <c r="K21" s="188"/>
      <c r="L21" s="466"/>
      <c r="M21" s="188"/>
      <c r="N21" s="188"/>
      <c r="O21" s="188"/>
      <c r="P21" s="188"/>
      <c r="Q21" s="466"/>
      <c r="R21" s="188"/>
      <c r="S21" s="188"/>
      <c r="T21" s="188"/>
      <c r="U21" s="188"/>
      <c r="V21" s="466"/>
      <c r="W21" s="188"/>
      <c r="X21" s="188"/>
      <c r="Y21" s="188"/>
      <c r="Z21" s="188"/>
      <c r="AA21" s="466"/>
      <c r="AB21" s="188"/>
      <c r="AC21" s="188"/>
      <c r="AD21" s="188"/>
      <c r="AE21" s="188"/>
      <c r="AF21" s="466"/>
      <c r="AG21" s="189">
        <v>8.9575186666666706</v>
      </c>
      <c r="AH21" s="189">
        <v>9.2269073333333296</v>
      </c>
      <c r="AI21" s="189">
        <v>8.9584399999999995</v>
      </c>
      <c r="AJ21" s="189">
        <v>8.6488606666666694</v>
      </c>
      <c r="AK21" s="510">
        <v>8.9479316666666708</v>
      </c>
      <c r="AL21" s="189">
        <v>9.0586716666666707</v>
      </c>
      <c r="AM21" s="189">
        <v>9.5436246666666662</v>
      </c>
      <c r="AN21" s="189">
        <v>9.9339253333333346</v>
      </c>
      <c r="AO21" s="189">
        <v>9.897098333333334</v>
      </c>
      <c r="AP21" s="510">
        <v>9.6083300000000005</v>
      </c>
      <c r="AQ21" s="189">
        <v>9.8268776666666646</v>
      </c>
      <c r="AR21" s="189">
        <v>10.836056000000001</v>
      </c>
      <c r="AS21" s="190">
        <v>18.484831</v>
      </c>
      <c r="AT21" s="215">
        <v>19.728791999999999</v>
      </c>
      <c r="AU21" s="510">
        <f>AVERAGE(AQ21:AT21)</f>
        <v>14.719139166666666</v>
      </c>
      <c r="AV21" s="190">
        <v>20.181743999999998</v>
      </c>
      <c r="AW21" s="190">
        <v>20.3</v>
      </c>
      <c r="AX21" s="190"/>
      <c r="AY21" s="215"/>
      <c r="AZ21" s="511"/>
    </row>
    <row r="22" spans="2:52" s="193" customFormat="1" ht="23.1" customHeight="1">
      <c r="B22" s="271" t="s">
        <v>487</v>
      </c>
      <c r="C22" s="271" t="s">
        <v>488</v>
      </c>
      <c r="D22" s="177"/>
      <c r="E22" s="177"/>
      <c r="F22" s="177"/>
      <c r="G22" s="466"/>
      <c r="H22" s="177"/>
      <c r="I22" s="177"/>
      <c r="J22" s="177"/>
      <c r="K22" s="177"/>
      <c r="L22" s="466"/>
      <c r="M22" s="177"/>
      <c r="N22" s="177"/>
      <c r="O22" s="177"/>
      <c r="P22" s="177"/>
      <c r="Q22" s="466"/>
      <c r="R22" s="177"/>
      <c r="S22" s="177"/>
      <c r="T22" s="177"/>
      <c r="U22" s="177"/>
      <c r="V22" s="466"/>
      <c r="W22" s="177"/>
      <c r="X22" s="177"/>
      <c r="Y22" s="177"/>
      <c r="Z22" s="177"/>
      <c r="AA22" s="466"/>
      <c r="AB22" s="177"/>
      <c r="AC22" s="177"/>
      <c r="AD22" s="177"/>
      <c r="AE22" s="177"/>
      <c r="AF22" s="466"/>
      <c r="AG22" s="192">
        <v>21.2333173333333</v>
      </c>
      <c r="AH22" s="192">
        <v>20.898015999999998</v>
      </c>
      <c r="AI22" s="192">
        <v>20.942602666666701</v>
      </c>
      <c r="AJ22" s="192">
        <v>21.839365666666701</v>
      </c>
      <c r="AK22" s="512">
        <v>21.228325416666699</v>
      </c>
      <c r="AL22" s="192">
        <v>22.457554666666667</v>
      </c>
      <c r="AM22" s="192">
        <v>21.564558000000002</v>
      </c>
      <c r="AN22" s="192">
        <v>20.811750666666669</v>
      </c>
      <c r="AO22" s="192">
        <v>21.400824666666669</v>
      </c>
      <c r="AP22" s="512">
        <v>21.558671999999998</v>
      </c>
      <c r="AQ22" s="192">
        <v>21.740159999999999</v>
      </c>
      <c r="AR22" s="192">
        <v>21.146581999999999</v>
      </c>
      <c r="AS22" s="192">
        <v>20.966215666666667</v>
      </c>
      <c r="AT22" s="216">
        <v>21.769559999999998</v>
      </c>
      <c r="AU22" s="512">
        <f>AVERAGE(AQ22:AT22)</f>
        <v>21.405629416666667</v>
      </c>
      <c r="AV22" s="192">
        <v>21.706271999999998</v>
      </c>
      <c r="AW22" s="192">
        <v>21.8</v>
      </c>
      <c r="AX22" s="192"/>
      <c r="AY22" s="216"/>
      <c r="AZ22" s="512"/>
    </row>
    <row r="23" spans="2:52" s="193" customFormat="1" ht="23.1" customHeight="1">
      <c r="B23" s="271" t="s">
        <v>489</v>
      </c>
      <c r="C23" s="271" t="s">
        <v>490</v>
      </c>
      <c r="D23" s="170"/>
      <c r="E23" s="170"/>
      <c r="F23" s="170"/>
      <c r="G23" s="466"/>
      <c r="H23" s="170"/>
      <c r="I23" s="170"/>
      <c r="J23" s="170"/>
      <c r="K23" s="170"/>
      <c r="L23" s="466"/>
      <c r="M23" s="170"/>
      <c r="N23" s="170"/>
      <c r="O23" s="170"/>
      <c r="P23" s="170"/>
      <c r="Q23" s="466"/>
      <c r="R23" s="170"/>
      <c r="S23" s="170"/>
      <c r="T23" s="170"/>
      <c r="U23" s="170"/>
      <c r="V23" s="466"/>
      <c r="W23" s="170"/>
      <c r="X23" s="170"/>
      <c r="Y23" s="170"/>
      <c r="Z23" s="170"/>
      <c r="AA23" s="466"/>
      <c r="AB23" s="170"/>
      <c r="AC23" s="170"/>
      <c r="AD23" s="170"/>
      <c r="AE23" s="170"/>
      <c r="AF23" s="466"/>
      <c r="AG23" s="192">
        <v>21.468349</v>
      </c>
      <c r="AH23" s="192">
        <v>20.808209333333298</v>
      </c>
      <c r="AI23" s="192">
        <v>20.612301333333299</v>
      </c>
      <c r="AJ23" s="192">
        <v>21.082352</v>
      </c>
      <c r="AK23" s="512">
        <v>20.992802916666701</v>
      </c>
      <c r="AL23" s="192">
        <v>21.450856666666667</v>
      </c>
      <c r="AM23" s="192">
        <v>20.752137333333334</v>
      </c>
      <c r="AN23" s="192">
        <v>20.033246999999999</v>
      </c>
      <c r="AO23" s="192">
        <v>20.897084333333332</v>
      </c>
      <c r="AP23" s="512">
        <v>20.783331333333333</v>
      </c>
      <c r="AQ23" s="192">
        <v>21.910613000000001</v>
      </c>
      <c r="AR23" s="192">
        <v>21.920766666666665</v>
      </c>
      <c r="AS23" s="192">
        <v>20.933972666666669</v>
      </c>
      <c r="AT23" s="216">
        <v>21.592872</v>
      </c>
      <c r="AU23" s="512">
        <f t="shared" ref="AU23:AU25" si="2">AVERAGE(AQ23:AT23)</f>
        <v>21.589556083333335</v>
      </c>
      <c r="AV23" s="192">
        <v>21.562200000000001</v>
      </c>
      <c r="AW23" s="192">
        <v>21.7</v>
      </c>
      <c r="AX23" s="192"/>
      <c r="AY23" s="216"/>
      <c r="AZ23" s="512"/>
    </row>
    <row r="24" spans="2:52" s="193" customFormat="1" ht="23.1" customHeight="1">
      <c r="B24" s="271" t="s">
        <v>491</v>
      </c>
      <c r="C24" s="271" t="s">
        <v>492</v>
      </c>
      <c r="D24" s="470"/>
      <c r="E24" s="470"/>
      <c r="F24" s="268"/>
      <c r="G24" s="466"/>
      <c r="H24" s="470"/>
      <c r="I24" s="470"/>
      <c r="J24" s="268"/>
      <c r="K24" s="268"/>
      <c r="L24" s="466"/>
      <c r="M24" s="470"/>
      <c r="N24" s="470"/>
      <c r="O24" s="268"/>
      <c r="P24" s="268"/>
      <c r="Q24" s="466"/>
      <c r="R24" s="470"/>
      <c r="S24" s="470"/>
      <c r="T24" s="268"/>
      <c r="U24" s="268"/>
      <c r="V24" s="466"/>
      <c r="W24" s="470"/>
      <c r="X24" s="470"/>
      <c r="Y24" s="268"/>
      <c r="Z24" s="268"/>
      <c r="AA24" s="466"/>
      <c r="AB24" s="470"/>
      <c r="AC24" s="470"/>
      <c r="AD24" s="268"/>
      <c r="AE24" s="268"/>
      <c r="AF24" s="466"/>
      <c r="AG24" s="272">
        <v>15.9318236666667</v>
      </c>
      <c r="AH24" s="272">
        <v>15.865494</v>
      </c>
      <c r="AI24" s="272">
        <v>16.060423333333301</v>
      </c>
      <c r="AJ24" s="272">
        <v>17.065826666666698</v>
      </c>
      <c r="AK24" s="512">
        <v>16.2308919166667</v>
      </c>
      <c r="AL24" s="272">
        <v>17.787435666666667</v>
      </c>
      <c r="AM24" s="272">
        <v>16.994359333333335</v>
      </c>
      <c r="AN24" s="272">
        <v>16.433279333333335</v>
      </c>
      <c r="AO24" s="272">
        <v>17.680521000000002</v>
      </c>
      <c r="AP24" s="512">
        <v>17.223898833333333</v>
      </c>
      <c r="AQ24" s="272">
        <v>18.596202000000002</v>
      </c>
      <c r="AR24" s="272">
        <v>17.204713999999999</v>
      </c>
      <c r="AS24" s="272">
        <v>15.98324</v>
      </c>
      <c r="AT24" s="272">
        <v>17.756712</v>
      </c>
      <c r="AU24" s="512">
        <f t="shared" si="2"/>
        <v>17.385217000000001</v>
      </c>
      <c r="AV24" s="272">
        <v>17.12556</v>
      </c>
      <c r="AW24" s="272">
        <v>16.7</v>
      </c>
      <c r="AX24" s="272"/>
      <c r="AY24" s="272"/>
      <c r="AZ24" s="512"/>
    </row>
    <row r="25" spans="2:52" s="193" customFormat="1" ht="23.1" customHeight="1" thickBot="1">
      <c r="B25" s="273" t="s">
        <v>493</v>
      </c>
      <c r="C25" s="273" t="s">
        <v>494</v>
      </c>
      <c r="D25" s="471"/>
      <c r="E25" s="471"/>
      <c r="F25" s="472"/>
      <c r="G25" s="467"/>
      <c r="H25" s="471"/>
      <c r="I25" s="471"/>
      <c r="J25" s="472"/>
      <c r="K25" s="472"/>
      <c r="L25" s="467"/>
      <c r="M25" s="471"/>
      <c r="N25" s="471"/>
      <c r="O25" s="472"/>
      <c r="P25" s="472"/>
      <c r="Q25" s="467"/>
      <c r="R25" s="471"/>
      <c r="S25" s="471"/>
      <c r="T25" s="472"/>
      <c r="U25" s="472"/>
      <c r="V25" s="467"/>
      <c r="W25" s="471"/>
      <c r="X25" s="471"/>
      <c r="Y25" s="472"/>
      <c r="Z25" s="472"/>
      <c r="AA25" s="467"/>
      <c r="AB25" s="471"/>
      <c r="AC25" s="471"/>
      <c r="AD25" s="472"/>
      <c r="AE25" s="472"/>
      <c r="AF25" s="467"/>
      <c r="AG25" s="274">
        <v>16.4260943333333</v>
      </c>
      <c r="AH25" s="274">
        <v>15.977968000000001</v>
      </c>
      <c r="AI25" s="274">
        <v>16.207808</v>
      </c>
      <c r="AJ25" s="274">
        <v>17.236224666666701</v>
      </c>
      <c r="AK25" s="513">
        <v>16.46202375</v>
      </c>
      <c r="AL25" s="274">
        <v>17.738139</v>
      </c>
      <c r="AM25" s="274">
        <v>16.633941666666665</v>
      </c>
      <c r="AN25" s="274">
        <v>15.505186333333333</v>
      </c>
      <c r="AO25" s="274">
        <v>16.117697666666668</v>
      </c>
      <c r="AP25" s="513">
        <v>16.498741166666665</v>
      </c>
      <c r="AQ25" s="274">
        <v>16.987466000000001</v>
      </c>
      <c r="AR25" s="254">
        <v>16.000780333333335</v>
      </c>
      <c r="AS25" s="254">
        <v>14.976542333333335</v>
      </c>
      <c r="AT25" s="274">
        <v>17.669664000000001</v>
      </c>
      <c r="AU25" s="513">
        <f t="shared" si="2"/>
        <v>16.408613166666669</v>
      </c>
      <c r="AV25" s="274">
        <v>17.595576000000001</v>
      </c>
      <c r="AW25" s="254">
        <v>17.600000000000001</v>
      </c>
      <c r="AX25" s="254"/>
      <c r="AY25" s="274"/>
      <c r="AZ25" s="513"/>
    </row>
    <row r="26" spans="2:52" s="165" customFormat="1" ht="20.100000000000001" customHeight="1">
      <c r="B26" s="166"/>
      <c r="C26" s="166"/>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166"/>
      <c r="AH26" s="166"/>
      <c r="AI26" s="166"/>
      <c r="AJ26" s="166"/>
      <c r="AK26" s="473"/>
      <c r="AL26" s="166"/>
      <c r="AM26" s="166"/>
      <c r="AN26" s="166"/>
      <c r="AO26" s="166"/>
      <c r="AP26" s="473"/>
      <c r="AQ26" s="166"/>
      <c r="AR26" s="166"/>
      <c r="AS26" s="166"/>
      <c r="AT26" s="166"/>
      <c r="AU26" s="473"/>
      <c r="AV26" s="166"/>
      <c r="AW26" s="166"/>
      <c r="AX26" s="166"/>
      <c r="AY26" s="166"/>
      <c r="AZ26" s="473"/>
    </row>
    <row r="27" spans="2:52" s="165" customFormat="1" ht="27.75" customHeight="1" thickBot="1">
      <c r="B27" s="194" t="s">
        <v>495</v>
      </c>
      <c r="C27" s="194" t="s">
        <v>496</v>
      </c>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166"/>
      <c r="AH27" s="166"/>
      <c r="AI27" s="166"/>
      <c r="AJ27" s="166"/>
      <c r="AK27" s="473"/>
      <c r="AL27" s="166"/>
      <c r="AM27" s="166"/>
      <c r="AN27" s="166"/>
      <c r="AO27" s="166"/>
      <c r="AP27" s="473"/>
      <c r="AQ27" s="166"/>
      <c r="AR27" s="166"/>
      <c r="AS27" s="166"/>
      <c r="AT27" s="166"/>
      <c r="AU27" s="473"/>
      <c r="AV27" s="166"/>
      <c r="AW27" s="166"/>
      <c r="AX27" s="166"/>
      <c r="AY27" s="166"/>
      <c r="AZ27" s="473"/>
    </row>
    <row r="28" spans="2:52" s="516" customFormat="1" ht="20.25" customHeight="1">
      <c r="B28" s="729" t="s">
        <v>497</v>
      </c>
      <c r="C28" s="729" t="s">
        <v>498</v>
      </c>
      <c r="D28" s="725"/>
      <c r="E28" s="726"/>
      <c r="F28" s="726"/>
      <c r="G28" s="727"/>
      <c r="H28" s="725"/>
      <c r="I28" s="726"/>
      <c r="J28" s="726"/>
      <c r="K28" s="726"/>
      <c r="L28" s="727"/>
      <c r="M28" s="725"/>
      <c r="N28" s="726"/>
      <c r="O28" s="726"/>
      <c r="P28" s="726"/>
      <c r="Q28" s="727"/>
      <c r="R28" s="725"/>
      <c r="S28" s="726"/>
      <c r="T28" s="726"/>
      <c r="U28" s="726"/>
      <c r="V28" s="727"/>
      <c r="W28" s="725"/>
      <c r="X28" s="726"/>
      <c r="Y28" s="726"/>
      <c r="Z28" s="726"/>
      <c r="AA28" s="727"/>
      <c r="AB28" s="725"/>
      <c r="AC28" s="726"/>
      <c r="AD28" s="726"/>
      <c r="AE28" s="726"/>
      <c r="AF28" s="727"/>
      <c r="AG28" s="725">
        <v>2018</v>
      </c>
      <c r="AH28" s="726"/>
      <c r="AI28" s="726"/>
      <c r="AJ28" s="726"/>
      <c r="AK28" s="727">
        <v>2018</v>
      </c>
      <c r="AL28" s="725">
        <v>2019</v>
      </c>
      <c r="AM28" s="726"/>
      <c r="AN28" s="726"/>
      <c r="AO28" s="726"/>
      <c r="AP28" s="727">
        <v>2019</v>
      </c>
      <c r="AQ28" s="725">
        <v>2020</v>
      </c>
      <c r="AR28" s="726"/>
      <c r="AS28" s="726"/>
      <c r="AT28" s="726"/>
      <c r="AU28" s="727">
        <v>2020</v>
      </c>
      <c r="AV28" s="725">
        <f>AV2</f>
        <v>2021</v>
      </c>
      <c r="AW28" s="726"/>
      <c r="AX28" s="726"/>
      <c r="AY28" s="726"/>
      <c r="AZ28" s="727">
        <v>2021</v>
      </c>
    </row>
    <row r="29" spans="2:52" s="517" customFormat="1" ht="20.25" customHeight="1" thickBot="1">
      <c r="B29" s="730"/>
      <c r="C29" s="730"/>
      <c r="D29" s="480"/>
      <c r="E29" s="481"/>
      <c r="F29" s="481"/>
      <c r="G29" s="728"/>
      <c r="H29" s="480"/>
      <c r="I29" s="481"/>
      <c r="J29" s="481"/>
      <c r="K29" s="481"/>
      <c r="L29" s="728"/>
      <c r="M29" s="480"/>
      <c r="N29" s="481"/>
      <c r="O29" s="481"/>
      <c r="P29" s="481"/>
      <c r="Q29" s="728"/>
      <c r="R29" s="480"/>
      <c r="S29" s="481"/>
      <c r="T29" s="481"/>
      <c r="U29" s="481"/>
      <c r="V29" s="728"/>
      <c r="W29" s="480"/>
      <c r="X29" s="481"/>
      <c r="Y29" s="481"/>
      <c r="Z29" s="481"/>
      <c r="AA29" s="728"/>
      <c r="AB29" s="480"/>
      <c r="AC29" s="481"/>
      <c r="AD29" s="481"/>
      <c r="AE29" s="481"/>
      <c r="AF29" s="728"/>
      <c r="AG29" s="480" t="s">
        <v>408</v>
      </c>
      <c r="AH29" s="481" t="s">
        <v>409</v>
      </c>
      <c r="AI29" s="481" t="s">
        <v>410</v>
      </c>
      <c r="AJ29" s="481" t="s">
        <v>411</v>
      </c>
      <c r="AK29" s="728"/>
      <c r="AL29" s="480" t="s">
        <v>408</v>
      </c>
      <c r="AM29" s="481" t="s">
        <v>409</v>
      </c>
      <c r="AN29" s="481" t="s">
        <v>410</v>
      </c>
      <c r="AO29" s="481" t="s">
        <v>411</v>
      </c>
      <c r="AP29" s="728"/>
      <c r="AQ29" s="480" t="s">
        <v>408</v>
      </c>
      <c r="AR29" s="481" t="s">
        <v>409</v>
      </c>
      <c r="AS29" s="481" t="s">
        <v>410</v>
      </c>
      <c r="AT29" s="481" t="s">
        <v>411</v>
      </c>
      <c r="AU29" s="728"/>
      <c r="AV29" s="480" t="s">
        <v>408</v>
      </c>
      <c r="AW29" s="481" t="s">
        <v>409</v>
      </c>
      <c r="AX29" s="481" t="s">
        <v>410</v>
      </c>
      <c r="AY29" s="481" t="s">
        <v>411</v>
      </c>
      <c r="AZ29" s="728"/>
    </row>
    <row r="30" spans="2:52" s="196" customFormat="1" ht="20.100000000000001" customHeight="1">
      <c r="B30" s="186" t="s">
        <v>485</v>
      </c>
      <c r="C30" s="186" t="s">
        <v>486</v>
      </c>
      <c r="D30" s="188"/>
      <c r="E30" s="188"/>
      <c r="F30" s="188"/>
      <c r="G30" s="466"/>
      <c r="H30" s="188"/>
      <c r="I30" s="188"/>
      <c r="J30" s="188"/>
      <c r="K30" s="188"/>
      <c r="L30" s="466"/>
      <c r="M30" s="188"/>
      <c r="N30" s="188"/>
      <c r="O30" s="188"/>
      <c r="P30" s="188"/>
      <c r="Q30" s="466"/>
      <c r="R30" s="188"/>
      <c r="S30" s="188"/>
      <c r="T30" s="188"/>
      <c r="U30" s="188"/>
      <c r="V30" s="466"/>
      <c r="W30" s="188"/>
      <c r="X30" s="188"/>
      <c r="Y30" s="188"/>
      <c r="Z30" s="188"/>
      <c r="AA30" s="466"/>
      <c r="AB30" s="188"/>
      <c r="AC30" s="188"/>
      <c r="AD30" s="188"/>
      <c r="AE30" s="188"/>
      <c r="AF30" s="466"/>
      <c r="AG30" s="195">
        <v>119.246591</v>
      </c>
      <c r="AH30" s="195">
        <v>122.659119</v>
      </c>
      <c r="AI30" s="195">
        <v>115.47829</v>
      </c>
      <c r="AJ30" s="195">
        <v>124.290809</v>
      </c>
      <c r="AK30" s="520">
        <v>120.418702</v>
      </c>
      <c r="AL30" s="195">
        <v>141.89801766666699</v>
      </c>
      <c r="AM30" s="195">
        <v>142.39620733333334</v>
      </c>
      <c r="AN30" s="195">
        <v>147.647065</v>
      </c>
      <c r="AO30" s="195">
        <v>147.21163000000001</v>
      </c>
      <c r="AP30" s="520">
        <v>144.52833590909091</v>
      </c>
      <c r="AQ30" s="195">
        <v>156.99415033333335</v>
      </c>
      <c r="AR30" s="195">
        <v>175.901262</v>
      </c>
      <c r="AS30" s="187">
        <v>1489.1514456666669</v>
      </c>
      <c r="AT30" s="188">
        <v>1713.2906539999999</v>
      </c>
      <c r="AU30" s="520">
        <f>AVERAGE(AQ30:AT30)</f>
        <v>883.83437800000002</v>
      </c>
      <c r="AV30" s="188">
        <v>1739.0040570000001</v>
      </c>
      <c r="AW30" s="188">
        <v>2028</v>
      </c>
      <c r="AX30" s="187"/>
      <c r="AY30" s="188"/>
      <c r="AZ30" s="521"/>
    </row>
    <row r="31" spans="2:52" s="165" customFormat="1" ht="20.100000000000001" customHeight="1">
      <c r="B31" s="271" t="s">
        <v>487</v>
      </c>
      <c r="C31" s="271" t="s">
        <v>488</v>
      </c>
      <c r="D31" s="177"/>
      <c r="E31" s="177"/>
      <c r="F31" s="177"/>
      <c r="G31" s="466"/>
      <c r="H31" s="177"/>
      <c r="I31" s="177"/>
      <c r="J31" s="177"/>
      <c r="K31" s="177"/>
      <c r="L31" s="466"/>
      <c r="M31" s="177"/>
      <c r="N31" s="177"/>
      <c r="O31" s="177"/>
      <c r="P31" s="177"/>
      <c r="Q31" s="466"/>
      <c r="R31" s="177"/>
      <c r="S31" s="177"/>
      <c r="T31" s="177"/>
      <c r="U31" s="177"/>
      <c r="V31" s="466"/>
      <c r="W31" s="177"/>
      <c r="X31" s="177"/>
      <c r="Y31" s="177"/>
      <c r="Z31" s="177"/>
      <c r="AA31" s="466"/>
      <c r="AB31" s="177"/>
      <c r="AC31" s="177"/>
      <c r="AD31" s="177"/>
      <c r="AE31" s="177"/>
      <c r="AF31" s="466"/>
      <c r="AG31" s="118">
        <v>3986.0391209999998</v>
      </c>
      <c r="AH31" s="118">
        <v>2843.8153569999999</v>
      </c>
      <c r="AI31" s="118">
        <v>2795.8327979999999</v>
      </c>
      <c r="AJ31" s="118">
        <v>2824.1565719999999</v>
      </c>
      <c r="AK31" s="518">
        <v>3112.4609620000001</v>
      </c>
      <c r="AL31" s="118">
        <v>3067.8559336666667</v>
      </c>
      <c r="AM31" s="118">
        <v>2816.4148613333336</v>
      </c>
      <c r="AN31" s="118">
        <v>2891.7096685000001</v>
      </c>
      <c r="AO31" s="118">
        <v>2865.860862</v>
      </c>
      <c r="AP31" s="518">
        <v>2912.164937090909</v>
      </c>
      <c r="AQ31" s="118">
        <v>3348.4315183333333</v>
      </c>
      <c r="AR31" s="118">
        <v>3454.8804993333333</v>
      </c>
      <c r="AS31" s="118">
        <v>2850.2637966666666</v>
      </c>
      <c r="AT31" s="177">
        <v>3489.1977529999999</v>
      </c>
      <c r="AU31" s="518">
        <f>AVERAGE(AQ31:AT31)</f>
        <v>3285.6933918333334</v>
      </c>
      <c r="AV31" s="177">
        <v>3448.092208</v>
      </c>
      <c r="AW31" s="118">
        <v>3363</v>
      </c>
      <c r="AX31" s="118"/>
      <c r="AY31" s="177"/>
      <c r="AZ31" s="518"/>
    </row>
    <row r="32" spans="2:52" s="165" customFormat="1" ht="20.100000000000001" customHeight="1">
      <c r="B32" s="271" t="s">
        <v>489</v>
      </c>
      <c r="C32" s="271" t="s">
        <v>490</v>
      </c>
      <c r="D32" s="170"/>
      <c r="E32" s="170"/>
      <c r="F32" s="170"/>
      <c r="G32" s="466"/>
      <c r="H32" s="170"/>
      <c r="I32" s="170"/>
      <c r="J32" s="170"/>
      <c r="K32" s="170"/>
      <c r="L32" s="466"/>
      <c r="M32" s="170"/>
      <c r="N32" s="170"/>
      <c r="O32" s="170"/>
      <c r="P32" s="170"/>
      <c r="Q32" s="466"/>
      <c r="R32" s="170"/>
      <c r="S32" s="170"/>
      <c r="T32" s="170"/>
      <c r="U32" s="170"/>
      <c r="V32" s="466"/>
      <c r="W32" s="170"/>
      <c r="X32" s="170"/>
      <c r="Y32" s="170"/>
      <c r="Z32" s="170"/>
      <c r="AA32" s="466"/>
      <c r="AB32" s="170"/>
      <c r="AC32" s="170"/>
      <c r="AD32" s="170"/>
      <c r="AE32" s="170"/>
      <c r="AF32" s="466"/>
      <c r="AG32" s="118">
        <v>3147.101705</v>
      </c>
      <c r="AH32" s="118">
        <v>2634.622558</v>
      </c>
      <c r="AI32" s="118">
        <v>2262.472448</v>
      </c>
      <c r="AJ32" s="118">
        <v>1989.323279</v>
      </c>
      <c r="AK32" s="518">
        <v>2508.379997</v>
      </c>
      <c r="AL32" s="118">
        <v>2306.4432736666663</v>
      </c>
      <c r="AM32" s="118">
        <v>2056.0130949999998</v>
      </c>
      <c r="AN32" s="118">
        <v>2009.5032535</v>
      </c>
      <c r="AO32" s="118">
        <v>2040.8401793333333</v>
      </c>
      <c r="AP32" s="518">
        <v>2111.7178319090908</v>
      </c>
      <c r="AQ32" s="118">
        <v>2424.047912</v>
      </c>
      <c r="AR32" s="118">
        <v>2514.4230903333337</v>
      </c>
      <c r="AS32" s="118">
        <v>2247.1015526666665</v>
      </c>
      <c r="AT32" s="177">
        <v>2523.0223740000001</v>
      </c>
      <c r="AU32" s="518">
        <f t="shared" ref="AU32:AU34" si="3">AVERAGE(AQ32:AT32)</f>
        <v>2427.1487322500002</v>
      </c>
      <c r="AV32" s="177">
        <v>2360.7921510000001</v>
      </c>
      <c r="AW32" s="118">
        <v>2293</v>
      </c>
      <c r="AX32" s="118"/>
      <c r="AY32" s="177"/>
      <c r="AZ32" s="518"/>
    </row>
    <row r="33" spans="2:52" s="165" customFormat="1" ht="20.100000000000001" customHeight="1">
      <c r="B33" s="271" t="s">
        <v>491</v>
      </c>
      <c r="C33" s="271" t="s">
        <v>492</v>
      </c>
      <c r="D33" s="470"/>
      <c r="E33" s="470"/>
      <c r="F33" s="268"/>
      <c r="G33" s="466"/>
      <c r="H33" s="470"/>
      <c r="I33" s="470"/>
      <c r="J33" s="268"/>
      <c r="K33" s="268"/>
      <c r="L33" s="466"/>
      <c r="M33" s="470"/>
      <c r="N33" s="470"/>
      <c r="O33" s="268"/>
      <c r="P33" s="268"/>
      <c r="Q33" s="466"/>
      <c r="R33" s="470"/>
      <c r="S33" s="470"/>
      <c r="T33" s="268"/>
      <c r="U33" s="268"/>
      <c r="V33" s="466"/>
      <c r="W33" s="470"/>
      <c r="X33" s="470"/>
      <c r="Y33" s="268"/>
      <c r="Z33" s="268"/>
      <c r="AA33" s="466"/>
      <c r="AB33" s="470"/>
      <c r="AC33" s="470"/>
      <c r="AD33" s="268"/>
      <c r="AE33" s="268"/>
      <c r="AF33" s="466"/>
      <c r="AG33" s="275">
        <v>496.51288099999999</v>
      </c>
      <c r="AH33" s="275">
        <v>494.34597000000002</v>
      </c>
      <c r="AI33" s="275">
        <v>475.84753799999999</v>
      </c>
      <c r="AJ33" s="275">
        <v>550.75379799999996</v>
      </c>
      <c r="AK33" s="518">
        <v>504.365047</v>
      </c>
      <c r="AL33" s="275">
        <v>653.34457066666664</v>
      </c>
      <c r="AM33" s="275">
        <v>688.13588766666658</v>
      </c>
      <c r="AN33" s="275">
        <v>704.99070133333339</v>
      </c>
      <c r="AO33" s="275">
        <v>733.35113000000001</v>
      </c>
      <c r="AP33" s="518">
        <v>694.95557241666666</v>
      </c>
      <c r="AQ33" s="275">
        <v>908.30737366666665</v>
      </c>
      <c r="AR33" s="275">
        <v>796.95762233333335</v>
      </c>
      <c r="AS33" s="275">
        <v>826.83673199999998</v>
      </c>
      <c r="AT33" s="177">
        <v>914.32968500000004</v>
      </c>
      <c r="AU33" s="518">
        <f t="shared" si="3"/>
        <v>861.60785324999995</v>
      </c>
      <c r="AV33" s="279">
        <v>918.73843299999999</v>
      </c>
      <c r="AW33" s="275">
        <v>816</v>
      </c>
      <c r="AX33" s="275"/>
      <c r="AY33" s="177"/>
      <c r="AZ33" s="518"/>
    </row>
    <row r="34" spans="2:52" s="165" customFormat="1" ht="20.100000000000001" customHeight="1" thickBot="1">
      <c r="B34" s="273" t="s">
        <v>493</v>
      </c>
      <c r="C34" s="273" t="s">
        <v>494</v>
      </c>
      <c r="D34" s="471"/>
      <c r="E34" s="471"/>
      <c r="F34" s="472"/>
      <c r="G34" s="467"/>
      <c r="H34" s="471"/>
      <c r="I34" s="471"/>
      <c r="J34" s="472"/>
      <c r="K34" s="472"/>
      <c r="L34" s="467"/>
      <c r="M34" s="471"/>
      <c r="N34" s="471"/>
      <c r="O34" s="472"/>
      <c r="P34" s="472"/>
      <c r="Q34" s="467"/>
      <c r="R34" s="471"/>
      <c r="S34" s="471"/>
      <c r="T34" s="472"/>
      <c r="U34" s="472"/>
      <c r="V34" s="467"/>
      <c r="W34" s="471"/>
      <c r="X34" s="471"/>
      <c r="Y34" s="472"/>
      <c r="Z34" s="472"/>
      <c r="AA34" s="467"/>
      <c r="AB34" s="471"/>
      <c r="AC34" s="471"/>
      <c r="AD34" s="472"/>
      <c r="AE34" s="472"/>
      <c r="AF34" s="467"/>
      <c r="AG34" s="276">
        <v>701.28572999999994</v>
      </c>
      <c r="AH34" s="276">
        <v>632.023324</v>
      </c>
      <c r="AI34" s="276">
        <v>599.56303200000002</v>
      </c>
      <c r="AJ34" s="276">
        <v>627.25341200000003</v>
      </c>
      <c r="AK34" s="519">
        <v>640.03137500000003</v>
      </c>
      <c r="AL34" s="276">
        <v>652.00119633333338</v>
      </c>
      <c r="AM34" s="276">
        <v>532.50463433333334</v>
      </c>
      <c r="AN34" s="276">
        <v>542.2565065</v>
      </c>
      <c r="AO34" s="276">
        <v>522.11580900000001</v>
      </c>
      <c r="AP34" s="519">
        <v>564.03435745454544</v>
      </c>
      <c r="AQ34" s="276">
        <v>645.25113733333342</v>
      </c>
      <c r="AR34" s="255">
        <v>585.152736</v>
      </c>
      <c r="AS34" s="255">
        <v>505.00412899999998</v>
      </c>
      <c r="AT34" s="250">
        <v>608.30699400000003</v>
      </c>
      <c r="AU34" s="519">
        <f t="shared" si="3"/>
        <v>585.92874908333329</v>
      </c>
      <c r="AV34" s="280">
        <v>589.85531400000002</v>
      </c>
      <c r="AW34" s="255">
        <v>572</v>
      </c>
      <c r="AX34" s="255"/>
      <c r="AY34" s="250"/>
      <c r="AZ34" s="519"/>
    </row>
    <row r="35" spans="2:52" s="165" customFormat="1" ht="20.100000000000001" customHeight="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K35" s="473"/>
      <c r="AP35" s="181"/>
      <c r="AU35" s="181"/>
      <c r="AZ35" s="181"/>
    </row>
    <row r="36" spans="2:52" s="165" customFormat="1" ht="51" customHeight="1">
      <c r="B36" s="182" t="s">
        <v>500</v>
      </c>
      <c r="C36" s="182" t="s">
        <v>499</v>
      </c>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K36" s="473"/>
      <c r="AP36" s="181"/>
      <c r="AR36" s="251"/>
      <c r="AS36" s="252"/>
      <c r="AT36" s="252"/>
      <c r="AU36" s="181"/>
      <c r="AW36" s="251"/>
      <c r="AX36" s="252"/>
      <c r="AY36" s="252"/>
      <c r="AZ36" s="181"/>
    </row>
    <row r="66" spans="1:40">
      <c r="A66" s="112"/>
      <c r="B66" s="251"/>
      <c r="C66" s="251"/>
      <c r="D66" s="475"/>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251"/>
      <c r="AH66" s="251"/>
      <c r="AJ66" s="251"/>
      <c r="AK66" s="477"/>
      <c r="AM66" s="112"/>
      <c r="AN66" s="112"/>
    </row>
    <row r="67" spans="1:40">
      <c r="A67" s="112"/>
      <c r="B67" s="251"/>
      <c r="C67" s="251"/>
      <c r="D67" s="475"/>
      <c r="E67" s="475"/>
      <c r="F67" s="475"/>
      <c r="G67" s="475"/>
      <c r="H67" s="475"/>
      <c r="I67" s="475"/>
      <c r="J67" s="475"/>
      <c r="K67" s="475"/>
      <c r="L67" s="475"/>
      <c r="M67" s="475"/>
      <c r="N67" s="475"/>
      <c r="O67" s="475"/>
      <c r="P67" s="475"/>
      <c r="Q67" s="475"/>
      <c r="R67" s="475"/>
      <c r="S67" s="475"/>
      <c r="T67" s="475"/>
      <c r="U67" s="475"/>
      <c r="V67" s="475"/>
      <c r="W67" s="475"/>
      <c r="X67" s="475"/>
      <c r="Y67" s="475"/>
      <c r="Z67" s="475"/>
      <c r="AA67" s="475"/>
      <c r="AB67" s="475"/>
      <c r="AC67" s="475"/>
      <c r="AD67" s="475"/>
      <c r="AE67" s="475"/>
      <c r="AF67" s="475"/>
      <c r="AG67" s="251"/>
      <c r="AH67" s="251"/>
      <c r="AJ67" s="251"/>
      <c r="AK67" s="477"/>
      <c r="AM67" s="112"/>
      <c r="AN67" s="112"/>
    </row>
  </sheetData>
  <customSheetViews>
    <customSheetView guid="{ED9E521F-BC9B-4E88-8A9F-5288A046401B}" showGridLines="0" hiddenColumns="1">
      <pane xSplit="2" ySplit="3" topLeftCell="AG4" activePane="bottomRight" state="frozen"/>
      <selection pane="bottomRight" activeCell="B12" sqref="B12"/>
      <pageMargins left="0.7" right="0.7" top="0.75" bottom="0.75" header="0.3" footer="0.3"/>
      <pageSetup paperSize="9" orientation="portrait" verticalDpi="0" r:id="rId1"/>
    </customSheetView>
    <customSheetView guid="{634BFE77-A2AA-4FA6-8ED5-F02244B9F10C}" showPageBreaks="1" showGridLines="0" hiddenColumns="1">
      <pane xSplit="2" ySplit="3" topLeftCell="AG4" activePane="bottomRight" state="frozen"/>
      <selection pane="bottomRight" activeCell="AZ4" sqref="AZ4"/>
      <pageMargins left="0.7" right="0.7" top="0.75" bottom="0.75" header="0.3" footer="0.3"/>
      <pageSetup paperSize="9" orientation="portrait" verticalDpi="0"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howGridLines="0" hiddenColumns="1">
      <pane xSplit="2" ySplit="3" topLeftCell="AG4" activePane="bottomRight" state="frozen"/>
      <selection pane="bottomRight" activeCell="BA21" sqref="BA21"/>
      <pageMargins left="0.7" right="0.7" top="0.75" bottom="0.75" header="0.3" footer="0.3"/>
      <pageSetup paperSize="9" orientation="portrait" verticalDpi="0" r:id="rId3"/>
    </customSheetView>
    <customSheetView guid="{B87BD74C-18F3-4393-BF03-31B25889E08F}" showGridLines="0" hiddenColumns="1">
      <pane xSplit="2" ySplit="3" topLeftCell="AG4" activePane="bottomRight" state="frozen"/>
      <selection pane="bottomRight" activeCell="AW36" sqref="AW36"/>
      <pageMargins left="0.7" right="0.7" top="0.75" bottom="0.75" header="0.3" footer="0.3"/>
      <pageSetup paperSize="9" orientation="portrait" verticalDpi="0" r:id="rId4"/>
    </customSheetView>
  </customSheetViews>
  <mergeCells count="66">
    <mergeCell ref="AV2:AY2"/>
    <mergeCell ref="AZ2:AZ3"/>
    <mergeCell ref="AV19:AY19"/>
    <mergeCell ref="AZ19:AZ20"/>
    <mergeCell ref="AV28:AY28"/>
    <mergeCell ref="AZ28:AZ29"/>
    <mergeCell ref="AA2:AA3"/>
    <mergeCell ref="B2:B3"/>
    <mergeCell ref="C2:C3"/>
    <mergeCell ref="D2:F2"/>
    <mergeCell ref="G2:G3"/>
    <mergeCell ref="H2:K2"/>
    <mergeCell ref="L2:L3"/>
    <mergeCell ref="M2:P2"/>
    <mergeCell ref="Q2:Q3"/>
    <mergeCell ref="R2:U2"/>
    <mergeCell ref="V2:V3"/>
    <mergeCell ref="W2:Z2"/>
    <mergeCell ref="AQ2:AT2"/>
    <mergeCell ref="AU2:AU3"/>
    <mergeCell ref="B19:B20"/>
    <mergeCell ref="C19:C20"/>
    <mergeCell ref="D19:F19"/>
    <mergeCell ref="G19:G20"/>
    <mergeCell ref="H19:K19"/>
    <mergeCell ref="L19:L20"/>
    <mergeCell ref="M19:P19"/>
    <mergeCell ref="Q19:Q20"/>
    <mergeCell ref="AB2:AE2"/>
    <mergeCell ref="AF2:AF3"/>
    <mergeCell ref="AG2:AJ2"/>
    <mergeCell ref="AK2:AK3"/>
    <mergeCell ref="AL2:AO2"/>
    <mergeCell ref="AP2:AP3"/>
    <mergeCell ref="AU19:AU20"/>
    <mergeCell ref="R19:U19"/>
    <mergeCell ref="V19:V20"/>
    <mergeCell ref="W19:Z19"/>
    <mergeCell ref="AA19:AA20"/>
    <mergeCell ref="AB19:AE19"/>
    <mergeCell ref="AF19:AF20"/>
    <mergeCell ref="AG19:AJ19"/>
    <mergeCell ref="AK19:AK20"/>
    <mergeCell ref="AL19:AO19"/>
    <mergeCell ref="AP19:AP20"/>
    <mergeCell ref="AQ19:AT19"/>
    <mergeCell ref="AA28:AA29"/>
    <mergeCell ref="B28:B29"/>
    <mergeCell ref="C28:C29"/>
    <mergeCell ref="D28:F28"/>
    <mergeCell ref="G28:G29"/>
    <mergeCell ref="H28:K28"/>
    <mergeCell ref="L28:L29"/>
    <mergeCell ref="M28:P28"/>
    <mergeCell ref="Q28:Q29"/>
    <mergeCell ref="R28:U28"/>
    <mergeCell ref="V28:V29"/>
    <mergeCell ref="W28:Z28"/>
    <mergeCell ref="AQ28:AT28"/>
    <mergeCell ref="AU28:AU29"/>
    <mergeCell ref="AB28:AE28"/>
    <mergeCell ref="AF28:AF29"/>
    <mergeCell ref="AG28:AJ28"/>
    <mergeCell ref="AK28:AK29"/>
    <mergeCell ref="AL28:AO28"/>
    <mergeCell ref="AP28:AP29"/>
  </mergeCells>
  <pageMargins left="0.7" right="0.7" top="0.75" bottom="0.75" header="0.3" footer="0.3"/>
  <pageSetup paperSize="9" orientation="portrait" verticalDpi="0"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E0F261DA124494BAB7AEB9768A0ACB0" ma:contentTypeVersion="4" ma:contentTypeDescription="Utwórz nowy dokument." ma:contentTypeScope="" ma:versionID="b171bb1c26185833ec86902d934a1b99">
  <xsd:schema xmlns:xsd="http://www.w3.org/2001/XMLSchema" xmlns:xs="http://www.w3.org/2001/XMLSchema" xmlns:p="http://schemas.microsoft.com/office/2006/metadata/properties" xmlns:ns2="a7a1957e-d094-4b2f-bbe8-ef43fbd58112" targetNamespace="http://schemas.microsoft.com/office/2006/metadata/properties" ma:root="true" ma:fieldsID="c0dbcd3877279a74827045b699b89fd5" ns2:_="">
    <xsd:import namespace="a7a1957e-d094-4b2f-bbe8-ef43fbd581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1957e-d094-4b2f-bbe8-ef43fbd581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09C639-6E81-4C42-9637-EF50EBF18171}">
  <ds:schemaRefs>
    <ds:schemaRef ds:uri="http://schemas.microsoft.com/sharepoint/v3/contenttype/forms"/>
  </ds:schemaRefs>
</ds:datastoreItem>
</file>

<file path=customXml/itemProps2.xml><?xml version="1.0" encoding="utf-8"?>
<ds:datastoreItem xmlns:ds="http://schemas.openxmlformats.org/officeDocument/2006/customXml" ds:itemID="{A56B8CC6-8979-4FAC-8EDF-606AD41E5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1957e-d094-4b2f-bbe8-ef43fbd581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440E72-627B-49BD-8136-CEF9ECB5C2F6}">
  <ds:schemaRefs>
    <ds:schemaRef ds:uri="http://purl.org/dc/dcmitype/"/>
    <ds:schemaRef ds:uri="http://schemas.microsoft.com/office/infopath/2007/PartnerControls"/>
    <ds:schemaRef ds:uri="a7a1957e-d094-4b2f-bbe8-ef43fbd58112"/>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5</vt:i4>
      </vt:variant>
    </vt:vector>
  </HeadingPairs>
  <TitlesOfParts>
    <vt:vector size="12" baseType="lpstr">
      <vt:lpstr>P&amp;L</vt:lpstr>
      <vt:lpstr>Segments</vt:lpstr>
      <vt:lpstr>Balance sheet</vt:lpstr>
      <vt:lpstr>Cash Flow</vt:lpstr>
      <vt:lpstr>Ratios</vt:lpstr>
      <vt:lpstr>KPI_segment B2B&amp;B2C</vt:lpstr>
      <vt:lpstr>KPI TV &amp; online</vt:lpstr>
      <vt:lpstr>'Balance sheet'!Obszar_wydruku</vt:lpstr>
      <vt:lpstr>'Cash Flow'!Obszar_wydruku</vt:lpstr>
      <vt:lpstr>'KPI_segment B2B&amp;B2C'!Obszar_wydruku</vt:lpstr>
      <vt:lpstr>'P&amp;L'!Obszar_wydruku</vt:lpstr>
      <vt:lpstr>'Cash Flow'!OLE_LINK3</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Agata Wiktorow-Sobczuk</cp:lastModifiedBy>
  <cp:revision/>
  <dcterms:created xsi:type="dcterms:W3CDTF">2008-08-25T12:12:22Z</dcterms:created>
  <dcterms:modified xsi:type="dcterms:W3CDTF">2021-08-18T12:05:37Z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0x0101001E0F261DA124494BAB7AEB9768A0ACB0</vt:lpwstr>
  </property>
  <property fmtid="{D5CDD505-2E9C-101B-9397-08002B2CF9AE}" pid="5" name="MSIP_Label_09f712ea-50a0-4d7c-b3f8-0f6197c7b855_Enabled">
    <vt:lpwstr>true</vt:lpwstr>
  </property>
  <property fmtid="{D5CDD505-2E9C-101B-9397-08002B2CF9AE}" pid="6" name="MSIP_Label_09f712ea-50a0-4d7c-b3f8-0f6197c7b855_SetDate">
    <vt:lpwstr>2021-08-10T21:52:56Z</vt:lpwstr>
  </property>
  <property fmtid="{D5CDD505-2E9C-101B-9397-08002B2CF9AE}" pid="7" name="MSIP_Label_09f712ea-50a0-4d7c-b3f8-0f6197c7b855_Method">
    <vt:lpwstr>Standard</vt:lpwstr>
  </property>
  <property fmtid="{D5CDD505-2E9C-101B-9397-08002B2CF9AE}" pid="8" name="MSIP_Label_09f712ea-50a0-4d7c-b3f8-0f6197c7b855_Name">
    <vt:lpwstr>Tajemnica przedsiębiorstwa - do użytku służbowego</vt:lpwstr>
  </property>
  <property fmtid="{D5CDD505-2E9C-101B-9397-08002B2CF9AE}" pid="9" name="MSIP_Label_09f712ea-50a0-4d7c-b3f8-0f6197c7b855_SiteId">
    <vt:lpwstr>e627a4cd-356c-4934-89de-1758b5605eaf</vt:lpwstr>
  </property>
  <property fmtid="{D5CDD505-2E9C-101B-9397-08002B2CF9AE}" pid="10" name="MSIP_Label_09f712ea-50a0-4d7c-b3f8-0f6197c7b855_ActionId">
    <vt:lpwstr>f5a0a768-2bc3-4980-9c7a-7ce48f62b26c</vt:lpwstr>
  </property>
  <property fmtid="{D5CDD505-2E9C-101B-9397-08002B2CF9AE}" pid="11" name="MSIP_Label_09f712ea-50a0-4d7c-b3f8-0f6197c7b855_ContentBits">
    <vt:lpwstr>2</vt:lpwstr>
  </property>
</Properties>
</file>